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culs" sheetId="1" state="visible" r:id="rId1"/>
    <sheet xmlns:r="http://schemas.openxmlformats.org/officeDocument/2006/relationships" name="Références" sheetId="2" state="visible" r:id="rId2"/>
    <sheet xmlns:r="http://schemas.openxmlformats.org/officeDocument/2006/relationships" name="Synthèse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 ##0,00 €"/>
    <numFmt numFmtId="166" formatCode="0.0"/>
  </numFmts>
  <fonts count="7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b val="1"/>
      <color rgb="001E293B"/>
    </font>
    <font>
      <b val="1"/>
    </font>
    <font>
      <b val="1"/>
      <color rgb="00FFFFFF"/>
    </font>
    <font>
      <i val="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0E7490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9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9" fontId="0" fillId="5" borderId="1" applyAlignment="1" pivotButton="0" quotePrefix="0" xfId="0">
      <alignment horizontal="center" vertical="center" wrapText="1"/>
    </xf>
    <xf numFmtId="0" fontId="3" fillId="0" borderId="0" pivotButton="0" quotePrefix="0" xfId="0"/>
    <xf numFmtId="165" fontId="5" fillId="6" borderId="0" pivotButton="0" quotePrefix="0" xfId="0"/>
    <xf numFmtId="0" fontId="6" fillId="0" borderId="0" pivotButton="0" quotePrefix="0" xfId="0"/>
    <xf numFmtId="165" fontId="0" fillId="0" borderId="0" pivotButton="0" quotePrefix="0" xfId="0"/>
    <xf numFmtId="9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3" borderId="1" pivotButton="0" quotePrefix="0" xfId="0"/>
    <xf numFmtId="0" fontId="0" fillId="5" borderId="1" pivotButton="0" quotePrefix="0" xfId="0"/>
    <xf numFmtId="0" fontId="2" fillId="6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b val="1"/>
        <color rgb="0016A34A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Indemnité ajustée par dossier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'Calculs'!P2</f>
            </strRef>
          </tx>
          <spPr>
            <a:solidFill xmlns:a="http://schemas.openxmlformats.org/drawingml/2006/main">
              <a:srgbClr val="0E7490"/>
            </a:solidFill>
            <a:ln xmlns:a="http://schemas.openxmlformats.org/drawingml/2006/main">
              <a:prstDash val="solid"/>
            </a:ln>
          </spPr>
          <cat>
            <numRef>
              <f>'Calculs'!$A$3:$A$12</f>
            </numRef>
          </cat>
          <val>
            <numRef>
              <f>'Calculs'!$P$3:$P$12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Dossier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ajusté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statuts</a:t>
            </a:r>
          </a:p>
        </rich>
      </tx>
    </title>
    <plotArea>
      <pieChart>
        <varyColors val="1"/>
        <ser>
          <idx val="0"/>
          <order val="0"/>
          <tx>
            <strRef>
              <f>'Synthèse'!B13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'Synthèse'!$A$14:$A$15</f>
            </numRef>
          </cat>
          <val>
            <numRef>
              <f>'Synthèse'!$B$14:$B$15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Solde dû selon la durée d'occupation</a:t>
            </a:r>
          </a:p>
        </rich>
      </tx>
    </title>
    <plotArea>
      <lineChart>
        <grouping val="standard"/>
        <ser>
          <idx val="0"/>
          <order val="0"/>
          <tx>
            <strRef>
              <f>'Calculs'!R2</f>
            </strRef>
          </tx>
          <spPr>
            <a:ln xmlns:a="http://schemas.openxmlformats.org/drawingml/2006/main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'Calculs'!$M$3:$M$12</f>
            </numRef>
          </cat>
          <val>
            <numRef>
              <f>'Calculs'!$R$3:$R$12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Nombre de jours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Solde dû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10</col>
      <colOff>0</colOff>
      <row>3</row>
      <rowOff>0</rowOff>
    </from>
    <ext cx="648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20" customWidth="1" min="2" max="2"/>
    <col width="30" customWidth="1" min="3" max="3"/>
    <col width="26" customWidth="1" min="4" max="4"/>
    <col width="20" customWidth="1" min="5" max="5"/>
    <col width="22" customWidth="1" min="6" max="6"/>
    <col width="22" customWidth="1" min="7" max="7"/>
    <col width="12" customWidth="1" min="8" max="8"/>
    <col width="16" customWidth="1" min="9" max="9"/>
    <col width="16" customWidth="1" min="10" max="10"/>
    <col width="18" customWidth="1" min="11" max="11"/>
    <col width="18" customWidth="1" min="12" max="12"/>
    <col width="14" customWidth="1" min="13" max="13"/>
    <col width="15" customWidth="1" min="14" max="14"/>
    <col width="14" customWidth="1" min="15" max="15"/>
    <col width="15" customWidth="1" min="16" max="16"/>
    <col width="16" customWidth="1" min="17" max="17"/>
    <col width="14" customWidth="1" min="18" max="18"/>
    <col width="14" customWidth="1" min="19" max="19"/>
    <col width="32" customWidth="1" min="20" max="20"/>
  </cols>
  <sheetData>
    <row r="1" ht="26" customHeight="1">
      <c r="A1" s="1" t="inlineStr">
        <is>
          <t>Calcul de l'indemnité d'occupation — Dossiers 2026</t>
        </is>
      </c>
    </row>
    <row r="2" ht="40" customHeight="1">
      <c r="A2" s="2" t="inlineStr">
        <is>
          <t>N° dossier</t>
        </is>
      </c>
      <c r="B2" s="2" t="inlineStr">
        <is>
          <t>Bailleur / occupant</t>
        </is>
      </c>
      <c r="C2" s="2" t="inlineStr">
        <is>
          <t>Type d'occupation</t>
        </is>
      </c>
      <c r="D2" s="2" t="inlineStr">
        <is>
          <t>Adresse du bien</t>
        </is>
      </c>
      <c r="E2" s="2" t="inlineStr">
        <is>
          <t>Ville</t>
        </is>
      </c>
      <c r="F2" s="2" t="inlineStr">
        <is>
          <t>Date de début d'occupation</t>
        </is>
      </c>
      <c r="G2" s="2" t="inlineStr">
        <is>
          <t>Date de fin d'occupation</t>
        </is>
      </c>
      <c r="H2" s="2" t="inlineStr">
        <is>
          <t>Surface habitable (m²)</t>
        </is>
      </c>
      <c r="I2" s="2" t="inlineStr">
        <is>
          <t>Loyer mensuel de référence (€)</t>
        </is>
      </c>
      <c r="J2" s="2" t="inlineStr">
        <is>
          <t>Charges mensuelles récupérables (€)</t>
        </is>
      </c>
      <c r="K2" s="2" t="inlineStr">
        <is>
          <t>Valeur locative mensuelle estimée (€)</t>
        </is>
      </c>
      <c r="L2" s="2" t="inlineStr">
        <is>
          <t>Indemnité d'occupation journalière (€)</t>
        </is>
      </c>
      <c r="M2" s="2" t="inlineStr">
        <is>
          <t>Nombre de jours d'occupation</t>
        </is>
      </c>
      <c r="N2" s="2" t="inlineStr">
        <is>
          <t>Indemnité brute (€)</t>
        </is>
      </c>
      <c r="O2" s="2" t="inlineStr">
        <is>
          <t>Abattement / majoration (%)</t>
        </is>
      </c>
      <c r="P2" s="2" t="inlineStr">
        <is>
          <t>Montant ajusté (€)</t>
        </is>
      </c>
      <c r="Q2" s="2" t="inlineStr">
        <is>
          <t>Paiements déjà versés (€)</t>
        </is>
      </c>
      <c r="R2" s="2" t="inlineStr">
        <is>
          <t>Solde dû (€)</t>
        </is>
      </c>
      <c r="S2" s="2" t="inlineStr">
        <is>
          <t>Statut</t>
        </is>
      </c>
      <c r="T2" s="2" t="inlineStr">
        <is>
          <t>Commentaire</t>
        </is>
      </c>
    </row>
    <row r="3">
      <c r="A3" s="3" t="inlineStr">
        <is>
          <t>D-2026-001</t>
        </is>
      </c>
      <c r="B3" s="4" t="inlineStr">
        <is>
          <t>Camille Durand</t>
        </is>
      </c>
      <c r="C3" s="4" t="inlineStr">
        <is>
          <t>Occupation sans titre</t>
        </is>
      </c>
      <c r="D3" s="4" t="inlineStr">
        <is>
          <t>8 avenue Victor Hugo</t>
        </is>
      </c>
      <c r="E3" s="4" t="inlineStr">
        <is>
          <t>75116 Paris</t>
        </is>
      </c>
      <c r="F3" s="27" t="n">
        <v>46023</v>
      </c>
      <c r="G3" s="27" t="n">
        <v>46203</v>
      </c>
      <c r="H3" s="3" t="n">
        <v>45</v>
      </c>
      <c r="I3" s="6" t="n">
        <v>1600</v>
      </c>
      <c r="J3" s="6" t="n">
        <v>150</v>
      </c>
      <c r="K3" s="7">
        <f>I3+J3</f>
        <v/>
      </c>
      <c r="L3" s="7">
        <f>IFERROR(K3/30,0)</f>
        <v/>
      </c>
      <c r="M3" s="3">
        <f>IF(AND(F3&lt;&gt;"",G3&lt;&gt;""),G3-F3+1,"")</f>
        <v/>
      </c>
      <c r="N3" s="7">
        <f>IFERROR(L3*M3,0)</f>
        <v/>
      </c>
      <c r="O3" s="8">
        <f>IFERROR(VLOOKUP(C3,Références!$A$2:$C$6,3,FALSE),0)</f>
        <v/>
      </c>
      <c r="P3" s="7">
        <f>N3*(1+O3)</f>
        <v/>
      </c>
      <c r="Q3" s="6" t="n">
        <v>3000</v>
      </c>
      <c r="R3" s="7">
        <f>P3-Q3</f>
        <v/>
      </c>
      <c r="S3" s="3">
        <f>IF(R3&lt;=0,"Soldé","À recouvrer")</f>
        <v/>
      </c>
      <c r="T3" s="4">
        <f>IF(R3&lt;=0,"Dossier soldé — aucun montant restant",IF(M3&gt;180,"Occupation longue durée — vérifier majoration","Suivi recouvrement en cours"))</f>
        <v/>
      </c>
    </row>
    <row r="4">
      <c r="A4" s="9" t="inlineStr">
        <is>
          <t>D-2026-002</t>
        </is>
      </c>
      <c r="B4" s="10" t="inlineStr">
        <is>
          <t>Julien Moreau</t>
        </is>
      </c>
      <c r="C4" s="10" t="inlineStr">
        <is>
          <t>Maintien dans les lieux après résiliation</t>
        </is>
      </c>
      <c r="D4" s="10" t="inlineStr">
        <is>
          <t>12 rue de la République</t>
        </is>
      </c>
      <c r="E4" s="10" t="inlineStr">
        <is>
          <t>69002 Lyon</t>
        </is>
      </c>
      <c r="F4" s="28" t="n">
        <v>46068</v>
      </c>
      <c r="G4" s="28" t="n">
        <v>46249</v>
      </c>
      <c r="H4" s="9" t="n">
        <v>60</v>
      </c>
      <c r="I4" s="6" t="n">
        <v>950</v>
      </c>
      <c r="J4" s="6" t="n">
        <v>100</v>
      </c>
      <c r="K4" s="12">
        <f>I4+J4</f>
        <v/>
      </c>
      <c r="L4" s="12">
        <f>IFERROR(K4/30,0)</f>
        <v/>
      </c>
      <c r="M4" s="9">
        <f>IF(AND(F4&lt;&gt;"",G4&lt;&gt;""),G4-F4+1,"")</f>
        <v/>
      </c>
      <c r="N4" s="12">
        <f>IFERROR(L4*M4,0)</f>
        <v/>
      </c>
      <c r="O4" s="13">
        <f>IFERROR(VLOOKUP(C4,Références!$A$2:$C$6,3,FALSE),0)</f>
        <v/>
      </c>
      <c r="P4" s="12">
        <f>N4*(1+O4)</f>
        <v/>
      </c>
      <c r="Q4" s="6" t="n">
        <v>2000</v>
      </c>
      <c r="R4" s="12">
        <f>P4-Q4</f>
        <v/>
      </c>
      <c r="S4" s="9">
        <f>IF(R4&lt;=0,"Soldé","À recouvrer")</f>
        <v/>
      </c>
      <c r="T4" s="10">
        <f>IF(R4&lt;=0,"Dossier soldé — aucun montant restant",IF(M4&gt;180,"Occupation longue durée — vérifier majoration","Suivi recouvrement en cours"))</f>
        <v/>
      </c>
    </row>
    <row r="5">
      <c r="A5" s="3" t="inlineStr">
        <is>
          <t>D-2026-003</t>
        </is>
      </c>
      <c r="B5" s="4" t="inlineStr">
        <is>
          <t>Sophie Lefèvre</t>
        </is>
      </c>
      <c r="C5" s="4" t="inlineStr">
        <is>
          <t>Occupation post-vente</t>
        </is>
      </c>
      <c r="D5" s="4" t="inlineStr">
        <is>
          <t>24 cours Gambetta</t>
        </is>
      </c>
      <c r="E5" s="4" t="inlineStr">
        <is>
          <t>33000 Bordeaux</t>
        </is>
      </c>
      <c r="F5" s="27" t="n">
        <v>46082</v>
      </c>
      <c r="G5" s="27" t="n">
        <v>46173</v>
      </c>
      <c r="H5" s="3" t="n">
        <v>55</v>
      </c>
      <c r="I5" s="6" t="n">
        <v>850</v>
      </c>
      <c r="J5" s="6" t="n">
        <v>90</v>
      </c>
      <c r="K5" s="7">
        <f>I5+J5</f>
        <v/>
      </c>
      <c r="L5" s="7">
        <f>IFERROR(K5/30,0)</f>
        <v/>
      </c>
      <c r="M5" s="3">
        <f>IF(AND(F5&lt;&gt;"",G5&lt;&gt;""),G5-F5+1,"")</f>
        <v/>
      </c>
      <c r="N5" s="7">
        <f>IFERROR(L5*M5,0)</f>
        <v/>
      </c>
      <c r="O5" s="8">
        <f>IFERROR(VLOOKUP(C5,Références!$A$2:$C$6,3,FALSE),0)</f>
        <v/>
      </c>
      <c r="P5" s="7">
        <f>N5*(1+O5)</f>
        <v/>
      </c>
      <c r="Q5" s="6" t="n">
        <v>2900</v>
      </c>
      <c r="R5" s="7">
        <f>P5-Q5</f>
        <v/>
      </c>
      <c r="S5" s="3">
        <f>IF(R5&lt;=0,"Soldé","À recouvrer")</f>
        <v/>
      </c>
      <c r="T5" s="4">
        <f>IF(R5&lt;=0,"Dossier soldé — aucun montant restant",IF(M5&gt;180,"Occupation longue durée — vérifier majoration","Suivi recouvrement en cours"))</f>
        <v/>
      </c>
    </row>
    <row r="6">
      <c r="A6" s="9" t="inlineStr">
        <is>
          <t>D-2026-004</t>
        </is>
      </c>
      <c r="B6" s="10" t="inlineStr">
        <is>
          <t>Thomas Bernard</t>
        </is>
      </c>
      <c r="C6" s="10" t="inlineStr">
        <is>
          <t>Occupation après séparation / indivision</t>
        </is>
      </c>
      <c r="D6" s="10" t="inlineStr">
        <is>
          <t>18 boulevard de Strasbourg</t>
        </is>
      </c>
      <c r="E6" s="10" t="inlineStr">
        <is>
          <t>31000 Toulouse</t>
        </is>
      </c>
      <c r="F6" s="28" t="n">
        <v>46023</v>
      </c>
      <c r="G6" s="28" t="n">
        <v>46142</v>
      </c>
      <c r="H6" s="9" t="n">
        <v>70</v>
      </c>
      <c r="I6" s="6" t="n">
        <v>900</v>
      </c>
      <c r="J6" s="6" t="n">
        <v>80</v>
      </c>
      <c r="K6" s="12">
        <f>I6+J6</f>
        <v/>
      </c>
      <c r="L6" s="12">
        <f>IFERROR(K6/30,0)</f>
        <v/>
      </c>
      <c r="M6" s="9">
        <f>IF(AND(F6&lt;&gt;"",G6&lt;&gt;""),G6-F6+1,"")</f>
        <v/>
      </c>
      <c r="N6" s="12">
        <f>IFERROR(L6*M6,0)</f>
        <v/>
      </c>
      <c r="O6" s="13">
        <f>IFERROR(VLOOKUP(C6,Références!$A$2:$C$6,3,FALSE),0)</f>
        <v/>
      </c>
      <c r="P6" s="12">
        <f>N6*(1+O6)</f>
        <v/>
      </c>
      <c r="Q6" s="6" t="n">
        <v>3600</v>
      </c>
      <c r="R6" s="12">
        <f>P6-Q6</f>
        <v/>
      </c>
      <c r="S6" s="9">
        <f>IF(R6&lt;=0,"Soldé","À recouvrer")</f>
        <v/>
      </c>
      <c r="T6" s="10">
        <f>IF(R6&lt;=0,"Dossier soldé — aucun montant restant",IF(M6&gt;180,"Occupation longue durée — vérifier majoration","Suivi recouvrement en cours"))</f>
        <v/>
      </c>
    </row>
    <row r="7">
      <c r="A7" s="3" t="inlineStr">
        <is>
          <t>D-2026-005</t>
        </is>
      </c>
      <c r="B7" s="4" t="inlineStr">
        <is>
          <t>Léa Martin</t>
        </is>
      </c>
      <c r="C7" s="4" t="inlineStr">
        <is>
          <t>Occupation en attente de départ amiable</t>
        </is>
      </c>
      <c r="D7" s="4" t="inlineStr">
        <is>
          <t>6 rue Nationale</t>
        </is>
      </c>
      <c r="E7" s="4" t="inlineStr">
        <is>
          <t>59000 Lille</t>
        </is>
      </c>
      <c r="F7" s="27" t="n">
        <v>46032</v>
      </c>
      <c r="G7" s="27" t="n">
        <v>46213</v>
      </c>
      <c r="H7" s="3" t="n">
        <v>38</v>
      </c>
      <c r="I7" s="6" t="n">
        <v>750</v>
      </c>
      <c r="J7" s="6" t="n">
        <v>70</v>
      </c>
      <c r="K7" s="7">
        <f>I7+J7</f>
        <v/>
      </c>
      <c r="L7" s="7">
        <f>IFERROR(K7/30,0)</f>
        <v/>
      </c>
      <c r="M7" s="3">
        <f>IF(AND(F7&lt;&gt;"",G7&lt;&gt;""),G7-F7+1,"")</f>
        <v/>
      </c>
      <c r="N7" s="7">
        <f>IFERROR(L7*M7,0)</f>
        <v/>
      </c>
      <c r="O7" s="8">
        <f>IFERROR(VLOOKUP(C7,Références!$A$2:$C$6,3,FALSE),0)</f>
        <v/>
      </c>
      <c r="P7" s="7">
        <f>N7*(1+O7)</f>
        <v/>
      </c>
      <c r="Q7" s="6" t="n">
        <v>1500</v>
      </c>
      <c r="R7" s="7">
        <f>P7-Q7</f>
        <v/>
      </c>
      <c r="S7" s="3">
        <f>IF(R7&lt;=0,"Soldé","À recouvrer")</f>
        <v/>
      </c>
      <c r="T7" s="4">
        <f>IF(R7&lt;=0,"Dossier soldé — aucun montant restant",IF(M7&gt;180,"Occupation longue durée — vérifier majoration","Suivi recouvrement en cours"))</f>
        <v/>
      </c>
    </row>
    <row r="8">
      <c r="A8" s="9" t="inlineStr">
        <is>
          <t>D-2026-006</t>
        </is>
      </c>
      <c r="B8" s="10" t="inlineStr">
        <is>
          <t>Nicolas Petit</t>
        </is>
      </c>
      <c r="C8" s="10" t="inlineStr">
        <is>
          <t>Occupation sans titre</t>
        </is>
      </c>
      <c r="D8" s="10" t="inlineStr">
        <is>
          <t>15 rue Saint-Ferréol</t>
        </is>
      </c>
      <c r="E8" s="10" t="inlineStr">
        <is>
          <t>13001 Marseille</t>
        </is>
      </c>
      <c r="F8" s="28" t="n">
        <v>46054</v>
      </c>
      <c r="G8" s="28" t="n">
        <v>46203</v>
      </c>
      <c r="H8" s="9" t="n">
        <v>50</v>
      </c>
      <c r="I8" s="6" t="n">
        <v>800</v>
      </c>
      <c r="J8" s="6" t="n">
        <v>60</v>
      </c>
      <c r="K8" s="12">
        <f>I8+J8</f>
        <v/>
      </c>
      <c r="L8" s="12">
        <f>IFERROR(K8/30,0)</f>
        <v/>
      </c>
      <c r="M8" s="9">
        <f>IF(AND(F8&lt;&gt;"",G8&lt;&gt;""),G8-F8+1,"")</f>
        <v/>
      </c>
      <c r="N8" s="12">
        <f>IFERROR(L8*M8,0)</f>
        <v/>
      </c>
      <c r="O8" s="13">
        <f>IFERROR(VLOOKUP(C8,Références!$A$2:$C$6,3,FALSE),0)</f>
        <v/>
      </c>
      <c r="P8" s="12">
        <f>N8*(1+O8)</f>
        <v/>
      </c>
      <c r="Q8" s="6" t="n">
        <v>2000</v>
      </c>
      <c r="R8" s="12">
        <f>P8-Q8</f>
        <v/>
      </c>
      <c r="S8" s="9">
        <f>IF(R8&lt;=0,"Soldé","À recouvrer")</f>
        <v/>
      </c>
      <c r="T8" s="10">
        <f>IF(R8&lt;=0,"Dossier soldé — aucun montant restant",IF(M8&gt;180,"Occupation longue durée — vérifier majoration","Suivi recouvrement en cours"))</f>
        <v/>
      </c>
    </row>
    <row r="9">
      <c r="A9" s="3" t="inlineStr">
        <is>
          <t>D-2026-007</t>
        </is>
      </c>
      <c r="B9" s="4" t="inlineStr">
        <is>
          <t>Émilie Rousseau</t>
        </is>
      </c>
      <c r="C9" s="4" t="inlineStr">
        <is>
          <t>Maintien dans les lieux après résiliation</t>
        </is>
      </c>
      <c r="D9" s="4" t="inlineStr">
        <is>
          <t>3 place de la Comédie</t>
        </is>
      </c>
      <c r="E9" s="4" t="inlineStr">
        <is>
          <t>34000 Montpellier</t>
        </is>
      </c>
      <c r="F9" s="27" t="n">
        <v>46023</v>
      </c>
      <c r="G9" s="27" t="n">
        <v>46387</v>
      </c>
      <c r="H9" s="3" t="n">
        <v>65</v>
      </c>
      <c r="I9" s="6" t="n">
        <v>950</v>
      </c>
      <c r="J9" s="6" t="n">
        <v>100</v>
      </c>
      <c r="K9" s="7">
        <f>I9+J9</f>
        <v/>
      </c>
      <c r="L9" s="7">
        <f>IFERROR(K9/30,0)</f>
        <v/>
      </c>
      <c r="M9" s="3">
        <f>IF(AND(F9&lt;&gt;"",G9&lt;&gt;""),G9-F9+1,"")</f>
        <v/>
      </c>
      <c r="N9" s="7">
        <f>IFERROR(L9*M9,0)</f>
        <v/>
      </c>
      <c r="O9" s="8">
        <f>IFERROR(VLOOKUP(C9,Références!$A$2:$C$6,3,FALSE),0)</f>
        <v/>
      </c>
      <c r="P9" s="7">
        <f>N9*(1+O9)</f>
        <v/>
      </c>
      <c r="Q9" s="6" t="n">
        <v>5000</v>
      </c>
      <c r="R9" s="7">
        <f>P9-Q9</f>
        <v/>
      </c>
      <c r="S9" s="3">
        <f>IF(R9&lt;=0,"Soldé","À recouvrer")</f>
        <v/>
      </c>
      <c r="T9" s="4">
        <f>IF(R9&lt;=0,"Dossier soldé — aucun montant restant",IF(M9&gt;180,"Occupation longue durée — vérifier majoration","Suivi recouvrement en cours"))</f>
        <v/>
      </c>
    </row>
    <row r="10">
      <c r="A10" s="9" t="inlineStr">
        <is>
          <t>D-2026-008</t>
        </is>
      </c>
      <c r="B10" s="10" t="inlineStr">
        <is>
          <t>Antoine Garcia</t>
        </is>
      </c>
      <c r="C10" s="10" t="inlineStr">
        <is>
          <t>Occupation post-vente</t>
        </is>
      </c>
      <c r="D10" s="10" t="inlineStr">
        <is>
          <t>9 rue du Maréchal Foch</t>
        </is>
      </c>
      <c r="E10" s="10" t="inlineStr">
        <is>
          <t>44000 Nantes</t>
        </is>
      </c>
      <c r="F10" s="28" t="n">
        <v>46113</v>
      </c>
      <c r="G10" s="28" t="n">
        <v>46203</v>
      </c>
      <c r="H10" s="9" t="n">
        <v>42</v>
      </c>
      <c r="I10" s="6" t="n">
        <v>700</v>
      </c>
      <c r="J10" s="6" t="n">
        <v>55</v>
      </c>
      <c r="K10" s="12">
        <f>I10+J10</f>
        <v/>
      </c>
      <c r="L10" s="12">
        <f>IFERROR(K10/30,0)</f>
        <v/>
      </c>
      <c r="M10" s="9">
        <f>IF(AND(F10&lt;&gt;"",G10&lt;&gt;""),G10-F10+1,"")</f>
        <v/>
      </c>
      <c r="N10" s="12">
        <f>IFERROR(L10*M10,0)</f>
        <v/>
      </c>
      <c r="O10" s="13">
        <f>IFERROR(VLOOKUP(C10,Références!$A$2:$C$6,3,FALSE),0)</f>
        <v/>
      </c>
      <c r="P10" s="12">
        <f>N10*(1+O10)</f>
        <v/>
      </c>
      <c r="Q10" s="6" t="n">
        <v>2400</v>
      </c>
      <c r="R10" s="12">
        <f>P10-Q10</f>
        <v/>
      </c>
      <c r="S10" s="9">
        <f>IF(R10&lt;=0,"Soldé","À recouvrer")</f>
        <v/>
      </c>
      <c r="T10" s="10">
        <f>IF(R10&lt;=0,"Dossier soldé — aucun montant restant",IF(M10&gt;180,"Occupation longue durée — vérifier majoration","Suivi recouvrement en cours"))</f>
        <v/>
      </c>
    </row>
    <row r="11">
      <c r="A11" s="3" t="inlineStr">
        <is>
          <t>D-2026-009</t>
        </is>
      </c>
      <c r="B11" s="4" t="inlineStr">
        <is>
          <t>Claire Dupont</t>
        </is>
      </c>
      <c r="C11" s="4" t="inlineStr">
        <is>
          <t>Occupation après séparation / indivision</t>
        </is>
      </c>
      <c r="D11" s="4" t="inlineStr">
        <is>
          <t>27 avenue de la Liberté</t>
        </is>
      </c>
      <c r="E11" s="4" t="inlineStr">
        <is>
          <t>67000 Strasbourg</t>
        </is>
      </c>
      <c r="F11" s="27" t="n">
        <v>46023</v>
      </c>
      <c r="G11" s="27" t="n">
        <v>46295</v>
      </c>
      <c r="H11" s="3" t="n">
        <v>80</v>
      </c>
      <c r="I11" s="6" t="n">
        <v>1100</v>
      </c>
      <c r="J11" s="6" t="n">
        <v>130</v>
      </c>
      <c r="K11" s="7">
        <f>I11+J11</f>
        <v/>
      </c>
      <c r="L11" s="7">
        <f>IFERROR(K11/30,0)</f>
        <v/>
      </c>
      <c r="M11" s="3">
        <f>IF(AND(F11&lt;&gt;"",G11&lt;&gt;""),G11-F11+1,"")</f>
        <v/>
      </c>
      <c r="N11" s="7">
        <f>IFERROR(L11*M11,0)</f>
        <v/>
      </c>
      <c r="O11" s="8">
        <f>IFERROR(VLOOKUP(C11,Références!$A$2:$C$6,3,FALSE),0)</f>
        <v/>
      </c>
      <c r="P11" s="7">
        <f>N11*(1+O11)</f>
        <v/>
      </c>
      <c r="Q11" s="6" t="n">
        <v>4000</v>
      </c>
      <c r="R11" s="7">
        <f>P11-Q11</f>
        <v/>
      </c>
      <c r="S11" s="3">
        <f>IF(R11&lt;=0,"Soldé","À recouvrer")</f>
        <v/>
      </c>
      <c r="T11" s="4">
        <f>IF(R11&lt;=0,"Dossier soldé — aucun montant restant",IF(M11&gt;180,"Occupation longue durée — vérifier majoration","Suivi recouvrement en cours"))</f>
        <v/>
      </c>
    </row>
    <row r="12">
      <c r="A12" s="9" t="inlineStr">
        <is>
          <t>D-2026-010</t>
        </is>
      </c>
      <c r="B12" s="10" t="inlineStr">
        <is>
          <t>Maxime Laurent</t>
        </is>
      </c>
      <c r="C12" s="10" t="inlineStr">
        <is>
          <t>Occupation en attente de départ amiable</t>
        </is>
      </c>
      <c r="D12" s="10" t="inlineStr">
        <is>
          <t>11 rue de Metz</t>
        </is>
      </c>
      <c r="E12" s="10" t="inlineStr">
        <is>
          <t>57000 Metz</t>
        </is>
      </c>
      <c r="F12" s="28" t="n">
        <v>46096</v>
      </c>
      <c r="G12" s="28" t="n">
        <v>46188</v>
      </c>
      <c r="H12" s="9" t="n">
        <v>25</v>
      </c>
      <c r="I12" s="6" t="n">
        <v>650</v>
      </c>
      <c r="J12" s="6" t="n">
        <v>50</v>
      </c>
      <c r="K12" s="12">
        <f>I12+J12</f>
        <v/>
      </c>
      <c r="L12" s="12">
        <f>IFERROR(K12/30,0)</f>
        <v/>
      </c>
      <c r="M12" s="9">
        <f>IF(AND(F12&lt;&gt;"",G12&lt;&gt;""),G12-F12+1,"")</f>
        <v/>
      </c>
      <c r="N12" s="12">
        <f>IFERROR(L12*M12,0)</f>
        <v/>
      </c>
      <c r="O12" s="13">
        <f>IFERROR(VLOOKUP(C12,Références!$A$2:$C$6,3,FALSE),0)</f>
        <v/>
      </c>
      <c r="P12" s="12">
        <f>N12*(1+O12)</f>
        <v/>
      </c>
      <c r="Q12" s="6" t="n">
        <v>1000</v>
      </c>
      <c r="R12" s="12">
        <f>P12-Q12</f>
        <v/>
      </c>
      <c r="S12" s="9">
        <f>IF(R12&lt;=0,"Soldé","À recouvrer")</f>
        <v/>
      </c>
      <c r="T12" s="10">
        <f>IF(R12&lt;=0,"Dossier soldé — aucun montant restant",IF(M12&gt;180,"Occupation longue durée — vérifier majoration","Suivi recouvrement en cours"))</f>
        <v/>
      </c>
    </row>
    <row r="13"/>
    <row r="14">
      <c r="B14" s="14" t="inlineStr">
        <is>
          <t>TOTAUX / INDICATEURS</t>
        </is>
      </c>
      <c r="N14" s="15">
        <f>SUM(N3:N12)</f>
        <v/>
      </c>
      <c r="P14" s="15">
        <f>SUM(P3:P12)</f>
        <v/>
      </c>
      <c r="Q14" s="15">
        <f>SUM(Q3:Q12)</f>
        <v/>
      </c>
      <c r="R14" s="15">
        <f>SUM(R3:R12)</f>
        <v/>
      </c>
    </row>
    <row r="15">
      <c r="B15" s="16" t="inlineStr">
        <is>
          <t>Montant ajusté moyen</t>
        </is>
      </c>
      <c r="P15" s="17">
        <f>AVERAGE(P3:P12)</f>
        <v/>
      </c>
    </row>
    <row r="16">
      <c r="B16" s="16" t="inlineStr">
        <is>
          <t>Nombre de dossiers « À recouvrer »</t>
        </is>
      </c>
      <c r="P16">
        <f>COUNTIF(S3:S12,"À recouvrer")</f>
        <v/>
      </c>
    </row>
    <row r="17">
      <c r="B17" s="16" t="inlineStr">
        <is>
          <t>Taux de recouvrement (%)</t>
        </is>
      </c>
      <c r="P17" s="18">
        <f>IFERROR(Q14/P14,0)</f>
        <v/>
      </c>
    </row>
  </sheetData>
  <mergeCells count="1">
    <mergeCell ref="A1:T1"/>
  </mergeCells>
  <conditionalFormatting sqref="S3:S12">
    <cfRule type="expression" priority="1" dxfId="0" stopIfTrue="1">
      <formula>S3="Soldé"</formula>
    </cfRule>
    <cfRule type="expression" priority="2" dxfId="1" stopIfTrue="1">
      <formula>S3="À recouvrer"</formula>
    </cfRule>
  </conditionalFormatting>
  <conditionalFormatting sqref="R3:R12">
    <cfRule type="expression" priority="3" dxfId="1" stopIfTrue="1">
      <formula>R3&gt;0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32" customWidth="1" min="1" max="1"/>
    <col width="26" customWidth="1" min="2" max="2"/>
    <col width="16" customWidth="1" min="3" max="3"/>
    <col width="46" customWidth="1" min="4" max="4"/>
    <col width="22" customWidth="1" min="5" max="5"/>
  </cols>
  <sheetData>
    <row r="1" ht="24" customHeight="1">
      <c r="A1" s="19" t="inlineStr">
        <is>
          <t>Barème et paramètres de référence</t>
        </is>
      </c>
    </row>
    <row r="2" ht="40" customHeight="1">
      <c r="A2" s="2" t="inlineStr">
        <is>
          <t>Type d'occupation</t>
        </is>
      </c>
      <c r="B2" s="2" t="inlineStr">
        <is>
          <t>Base de calcul</t>
        </is>
      </c>
      <c r="C2" s="2" t="inlineStr">
        <is>
          <t>Taux d'abattement / majoration</t>
        </is>
      </c>
      <c r="D2" s="2" t="inlineStr">
        <is>
          <t>Observations juridiques</t>
        </is>
      </c>
      <c r="E2" s="2" t="inlineStr">
        <is>
          <t>Référence marché mensuelle moyenne (€)</t>
        </is>
      </c>
    </row>
    <row r="3">
      <c r="A3" s="4" t="inlineStr">
        <is>
          <t>Occupation sans titre</t>
        </is>
      </c>
      <c r="B3" s="4" t="inlineStr">
        <is>
          <t>Valeur locative de marché</t>
        </is>
      </c>
      <c r="C3" s="8" t="n">
        <v>0.1</v>
      </c>
      <c r="D3" s="4" t="inlineStr">
        <is>
          <t>Occupant sans droit ni titre ; majoration usuelle appliquée par la jurisprudence</t>
        </is>
      </c>
      <c r="E3" s="7" t="n">
        <v>900</v>
      </c>
    </row>
    <row r="4">
      <c r="A4" s="10" t="inlineStr">
        <is>
          <t>Maintien dans les lieux après résiliation</t>
        </is>
      </c>
      <c r="B4" s="10" t="inlineStr">
        <is>
          <t>Loyer contractuel + charges</t>
        </is>
      </c>
      <c r="C4" s="13" t="n">
        <v>0.15</v>
      </c>
      <c r="D4" s="10" t="inlineStr">
        <is>
          <t>Bail résilié judiciairement ; majoration pour dissuader le maintien</t>
        </is>
      </c>
      <c r="E4" s="12" t="n">
        <v>1000</v>
      </c>
    </row>
    <row r="5">
      <c r="A5" s="4" t="inlineStr">
        <is>
          <t>Occupation post-vente</t>
        </is>
      </c>
      <c r="B5" s="4" t="inlineStr">
        <is>
          <t>Valeur locative de marché</t>
        </is>
      </c>
      <c r="C5" s="8" t="n">
        <v>-0.05</v>
      </c>
      <c r="D5" s="4" t="inlineStr">
        <is>
          <t>Ancien propriétaire occupant après signature de vente ; abattement modéré</t>
        </is>
      </c>
      <c r="E5" s="7" t="n">
        <v>950</v>
      </c>
    </row>
    <row r="6">
      <c r="A6" s="10" t="inlineStr">
        <is>
          <t>Occupation après séparation / indivision</t>
        </is>
      </c>
      <c r="B6" s="10" t="inlineStr">
        <is>
          <t>Loyer contractuel + charges</t>
        </is>
      </c>
      <c r="C6" s="13" t="n">
        <v>0</v>
      </c>
      <c r="D6" s="10" t="inlineStr">
        <is>
          <t>Indivision entre ex-conjoints ou héritiers ; neutralité fixée par accord ou juge</t>
        </is>
      </c>
      <c r="E6" s="12" t="n">
        <v>850</v>
      </c>
    </row>
    <row r="7">
      <c r="A7" s="4" t="inlineStr">
        <is>
          <t>Occupation en attente de départ amiable</t>
        </is>
      </c>
      <c r="B7" s="4" t="inlineStr">
        <is>
          <t>Valeur locative de marché</t>
        </is>
      </c>
      <c r="C7" s="8" t="n">
        <v>-0.1</v>
      </c>
      <c r="D7" s="4" t="inlineStr">
        <is>
          <t>Départ organisé à l'amiable ; abattement de courtoisie</t>
        </is>
      </c>
      <c r="E7" s="7" t="n">
        <v>750</v>
      </c>
    </row>
    <row r="8"/>
    <row r="9">
      <c r="A9" s="20" t="inlineStr">
        <is>
          <t>Repères de marché indicatifs (loyer mensuel)</t>
        </is>
      </c>
    </row>
    <row r="10">
      <c r="A10" s="21" t="inlineStr">
        <is>
          <t>Paris 16e</t>
        </is>
      </c>
      <c r="B10" s="21" t="inlineStr">
        <is>
          <t>1 200 à 1 600 €/mois</t>
        </is>
      </c>
    </row>
    <row r="11">
      <c r="A11" s="22" t="inlineStr">
        <is>
          <t>Lyon</t>
        </is>
      </c>
      <c r="B11" s="22" t="inlineStr">
        <is>
          <t>850 à 1 100 €/mois</t>
        </is>
      </c>
    </row>
    <row r="12">
      <c r="A12" s="21" t="inlineStr">
        <is>
          <t>Bordeaux</t>
        </is>
      </c>
      <c r="B12" s="21" t="inlineStr">
        <is>
          <t>750 à 950 €/mois</t>
        </is>
      </c>
    </row>
    <row r="13">
      <c r="A13" s="22" t="inlineStr">
        <is>
          <t>Marseille</t>
        </is>
      </c>
      <c r="B13" s="22" t="inlineStr">
        <is>
          <t>700 à 900 €/mois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4" customHeight="1">
      <c r="A1" s="19" t="inlineStr">
        <is>
          <t>Tableau de bord — Indemnités d'occupation 2026</t>
        </is>
      </c>
    </row>
    <row r="2"/>
    <row r="3">
      <c r="A3" s="23" t="inlineStr">
        <is>
          <t>Indicateur</t>
        </is>
      </c>
      <c r="B3" s="23" t="inlineStr">
        <is>
          <t>Valeur</t>
        </is>
      </c>
    </row>
    <row r="4">
      <c r="A4" s="4" t="inlineStr">
        <is>
          <t>Nombre total de dossiers</t>
        </is>
      </c>
      <c r="B4" s="3">
        <f>COUNTA(Calculs!A3:A12)</f>
        <v/>
      </c>
    </row>
    <row r="5">
      <c r="A5" s="10" t="inlineStr">
        <is>
          <t>Montant total brut (€)</t>
        </is>
      </c>
      <c r="B5" s="12">
        <f>SUM(Calculs!N3:N12)</f>
        <v/>
      </c>
    </row>
    <row r="6">
      <c r="A6" s="4" t="inlineStr">
        <is>
          <t>Montant total ajusté (€)</t>
        </is>
      </c>
      <c r="B6" s="7">
        <f>SUM(Calculs!P3:P12)</f>
        <v/>
      </c>
    </row>
    <row r="7">
      <c r="A7" s="10" t="inlineStr">
        <is>
          <t>Total des paiements reçus (€)</t>
        </is>
      </c>
      <c r="B7" s="12">
        <f>SUM(Calculs!Q3:Q12)</f>
        <v/>
      </c>
    </row>
    <row r="8">
      <c r="A8" s="4" t="inlineStr">
        <is>
          <t>Solde restant dû (€)</t>
        </is>
      </c>
      <c r="B8" s="7">
        <f>SUM(Calculs!R3:R12)</f>
        <v/>
      </c>
    </row>
    <row r="9">
      <c r="A9" s="10" t="inlineStr">
        <is>
          <t>Taux moyen d'abattement/majoration (%)</t>
        </is>
      </c>
      <c r="B9" s="13">
        <f>AVERAGE(Calculs!O3:O12)</f>
        <v/>
      </c>
    </row>
    <row r="10">
      <c r="A10" s="4" t="inlineStr">
        <is>
          <t>Délai moyen d'occupation (jours)</t>
        </is>
      </c>
      <c r="B10" s="29">
        <f>AVERAGE(Calculs!M3:M12)</f>
        <v/>
      </c>
    </row>
    <row r="11"/>
    <row r="12"/>
    <row r="13">
      <c r="A13" s="23" t="inlineStr">
        <is>
          <t>Statut</t>
        </is>
      </c>
      <c r="B13" s="23" t="inlineStr">
        <is>
          <t>Nombre de dossiers</t>
        </is>
      </c>
    </row>
    <row r="14">
      <c r="A14" s="21" t="inlineStr">
        <is>
          <t>Soldé</t>
        </is>
      </c>
      <c r="B14" s="21">
        <f>COUNTIF(Calculs!S3:S12,"Soldé")</f>
        <v/>
      </c>
    </row>
    <row r="15">
      <c r="A15" s="22" t="inlineStr">
        <is>
          <t>À recouvrer</t>
        </is>
      </c>
      <c r="B15" s="22">
        <f>COUNTIF(Calculs!S3:S12,"À recouvrer")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4" customHeight="1">
      <c r="A1" s="19" t="inlineStr">
        <is>
          <t>Mode d'emploi — Calcul de l'indemnité d'occupation</t>
        </is>
      </c>
    </row>
    <row r="2"/>
    <row r="3">
      <c r="A3" s="23" t="inlineStr">
        <is>
          <t>Rubrique</t>
        </is>
      </c>
      <c r="B3" s="23" t="inlineStr">
        <is>
          <t>Explication</t>
        </is>
      </c>
    </row>
    <row r="4" ht="34" customHeight="1">
      <c r="A4" s="25" t="inlineStr">
        <is>
          <t>Feuille Calculs</t>
        </is>
      </c>
      <c r="B4" s="4" t="inlineStr">
        <is>
          <t>Saisissez un dossier par ligne : bailleur/occupant, type d'occupation, adresse, dates, surface, loyer, charges et paiements. Les colonnes calculées (K à T) se remplissent automatiquement.</t>
        </is>
      </c>
    </row>
    <row r="5" ht="34" customHeight="1">
      <c r="A5" s="26" t="inlineStr">
        <is>
          <t>Format des dates</t>
        </is>
      </c>
      <c r="B5" s="10" t="inlineStr">
        <is>
          <t>Saisissez toujours les dates au format JJ/MM/AAAA (ex. 15/03/2026). Une date de fin antérieure à la date de début fausse le calcul du nombre de jours.</t>
        </is>
      </c>
    </row>
    <row r="6" ht="34" customHeight="1">
      <c r="A6" s="25" t="inlineStr">
        <is>
          <t>Loyer, charges et paiements</t>
        </is>
      </c>
      <c r="B6" s="4" t="inlineStr">
        <is>
          <t>Renseignez le loyer mensuel de référence, les charges récupérables et les paiements déjà versés dans les cellules en jaune pâle. Ce sont les seules cellules à modifier.</t>
        </is>
      </c>
    </row>
    <row r="7" ht="34" customHeight="1">
      <c r="A7" s="26" t="inlineStr">
        <is>
          <t>Type d'occupation</t>
        </is>
      </c>
      <c r="B7" s="10" t="inlineStr">
        <is>
          <t>Choisissez un type identique à ceux listés dans la feuille Références (orthographe exacte) afin que le RECHERCHEV applique le bon taux d'abattement/majoration.</t>
        </is>
      </c>
    </row>
    <row r="8" ht="34" customHeight="1">
      <c r="A8" s="25" t="inlineStr">
        <is>
          <t>Feuille Références</t>
        </is>
      </c>
      <c r="B8" s="4" t="inlineStr">
        <is>
          <t>Consultez et ajustez si nécessaire le barème des taux et les repères de loyer de marché par ville avant de lancer vos calculs.</t>
        </is>
      </c>
    </row>
    <row r="9" ht="34" customHeight="1">
      <c r="A9" s="26" t="inlineStr">
        <is>
          <t>Lecture des résultats</t>
        </is>
      </c>
      <c r="B9" s="10" t="inlineStr">
        <is>
          <t>La colonne Solde dû indique le montant restant à recouvrer. Le Statut passe automatiquement à « Soldé » dès que ce solde est nul ou négatif.</t>
        </is>
      </c>
    </row>
    <row r="10" ht="34" customHeight="1">
      <c r="A10" s="25" t="inlineStr">
        <is>
          <t>Commentaire automatique</t>
        </is>
      </c>
      <c r="B10" s="4" t="inlineStr">
        <is>
          <t>La colonne Commentaire signale les dossiers soldés, les occupations de longue durée (plus de 180 jours) et les dossiers en cours de recouvrement.</t>
        </is>
      </c>
    </row>
    <row r="11" ht="34" customHeight="1">
      <c r="A11" s="26" t="inlineStr">
        <is>
          <t>Feuille Synthèse</t>
        </is>
      </c>
      <c r="B11" s="10" t="inlineStr">
        <is>
          <t>Cette feuille agrège les indicateurs clés (totaux, moyennes, taux de recouvrement) et propose trois graphiques : histogramme, camembert et courbe.</t>
        </is>
      </c>
    </row>
    <row r="12" ht="34" customHeight="1">
      <c r="A12" s="25" t="inlineStr">
        <is>
          <t>Cellules de saisie</t>
        </is>
      </c>
      <c r="B12" s="4" t="inlineStr">
        <is>
          <t>Toutes les cellules modifiables apparaissent sur fond jaune pâle. Les autres cellules contiennent des formules à ne pas modifier.</t>
        </is>
      </c>
    </row>
    <row r="13" ht="34" customHeight="1">
      <c r="A13" s="26" t="inlineStr">
        <is>
          <t>Avertissement</t>
        </is>
      </c>
      <c r="B13" s="10" t="inlineStr">
        <is>
          <t>Cet outil est un support de calcul indicatif. Il ne constitue pas un avis juridique ; consultez un professionnel du droit pour toute procédure contentieuse.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2026-07-01T23:39:45Z</dcterms:created>
  <dcterms:modified xmlns:dcterms="http://purl.org/dc/terms/" xmlns:xsi="http://www.w3.org/2001/XMLSchema-instance" xsi:type="dcterms:W3CDTF">2026-07-01T23:39:45Z</dcterms:modified>
</cp:coreProperties>
</file>