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aison" sheetId="1" state="visible" r:id="rId1"/>
    <sheet xmlns:r="http://schemas.openxmlformats.org/officeDocument/2006/relationships" name="Paramètres" sheetId="2" state="visible" r:id="rId2"/>
    <sheet xmlns:r="http://schemas.openxmlformats.org/officeDocument/2006/relationships" name="Synthèse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,00 €"/>
    <numFmt numFmtId="165" formatCode="0,00 %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sz val="10"/>
    </font>
    <font>
      <b val="1"/>
      <color rgb="0016A34A"/>
    </font>
    <font>
      <b val="1"/>
      <color rgb="00FFFFFF"/>
      <sz val="14"/>
    </font>
    <font>
      <b val="1"/>
      <color rgb="00DC2626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0E7490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164" fontId="2" fillId="3" borderId="1" applyAlignment="1" pivotButton="0" quotePrefix="0" xfId="0">
      <alignment horizontal="right" vertical="center"/>
    </xf>
    <xf numFmtId="1" fontId="2" fillId="3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right" vertical="center"/>
    </xf>
    <xf numFmtId="1" fontId="2" fillId="5" borderId="1" applyAlignment="1" pivotButton="0" quotePrefix="0" xfId="0">
      <alignment horizontal="right" vertical="center"/>
    </xf>
    <xf numFmtId="165" fontId="2" fillId="5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3" fillId="6" borderId="1" applyAlignment="1" pivotButton="0" quotePrefix="0" xfId="0">
      <alignment horizontal="left" vertical="center" wrapText="1"/>
    </xf>
    <xf numFmtId="164" fontId="3" fillId="6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right" vertical="center"/>
    </xf>
    <xf numFmtId="0" fontId="1" fillId="7" borderId="0" applyAlignment="1" pivotButton="0" quotePrefix="0" xfId="0">
      <alignment horizontal="left" vertical="center" wrapText="1"/>
    </xf>
    <xf numFmtId="0" fontId="0" fillId="7" borderId="0" pivotButton="0" quotePrefix="0" xfId="0"/>
    <xf numFmtId="0" fontId="3" fillId="0" borderId="0" pivotButton="0" quotePrefix="0" xfId="0"/>
    <xf numFmtId="0" fontId="0" fillId="4" borderId="1" applyAlignment="1" pivotButton="0" quotePrefix="0" xfId="0">
      <alignment horizontal="left" vertical="center" wrapText="1"/>
    </xf>
    <xf numFmtId="165" fontId="4" fillId="0" borderId="1" pivotButton="0" quotePrefix="0" xfId="0"/>
    <xf numFmtId="1" fontId="3" fillId="0" borderId="1" pivotButton="0" quotePrefix="0" xfId="0"/>
    <xf numFmtId="0" fontId="5" fillId="7" borderId="0" applyAlignment="1" pivotButton="0" quotePrefix="0" xfId="0">
      <alignment horizontal="center" vertical="center"/>
    </xf>
    <xf numFmtId="0" fontId="1" fillId="7" borderId="0" pivotButton="0" quotePrefix="0" xfId="0"/>
    <xf numFmtId="0" fontId="3" fillId="0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right" vertical="center"/>
    </xf>
    <xf numFmtId="1" fontId="0" fillId="4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right" vertical="center"/>
    </xf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right" vertical="center"/>
    </xf>
    <xf numFmtId="0" fontId="3" fillId="0" borderId="1" pivotButton="0" quotePrefix="0" xfId="0"/>
    <xf numFmtId="1" fontId="4" fillId="0" borderId="1" applyAlignment="1" pivotButton="0" quotePrefix="0" xfId="0">
      <alignment horizontal="right" vertical="center"/>
    </xf>
    <xf numFmtId="165" fontId="0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1" fontId="0" fillId="5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Coût total de l'assurance par emprunteur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'Comparaison'!L1</f>
            </strRef>
          </tx>
          <spPr>
            <a:solidFill xmlns:a="http://schemas.openxmlformats.org/drawingml/2006/main">
              <a:srgbClr val="0E7490"/>
            </a:solidFill>
            <a:ln xmlns:a="http://schemas.openxmlformats.org/drawingml/2006/main">
              <a:prstDash val="solid"/>
            </a:ln>
          </spPr>
          <cat>
            <numRef>
              <f>'Comparaison'!$B$2:$B$9</f>
            </numRef>
          </cat>
          <val>
            <numRef>
              <f>'Comparaison'!$L$2:$L$9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Emprunteur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Coût total (€)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moyenne : intérêts vs assurance</a:t>
            </a:r>
          </a:p>
        </rich>
      </tx>
    </title>
    <plotArea>
      <pieChart>
        <varyColors val="1"/>
        <ser>
          <idx val="0"/>
          <order val="0"/>
          <tx>
            <strRef>
              <f>'Synthèse'!B15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'Synthèse'!$A$16:$A$17</f>
            </numRef>
          </cat>
          <val>
            <numRef>
              <f>'Synthèse'!$B$16:$B$17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Prime mensuelle estimée par offre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'Comparaison'!K1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'Comparaison'!$B$2:$B$9</f>
            </numRef>
          </cat>
          <val>
            <numRef>
              <f>'Comparaison'!$K$2:$K$9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Prime mensuelle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39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19</row>
      <rowOff>0</rowOff>
    </from>
    <ext cx="72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9"/>
  <sheetViews>
    <sheetView workbookViewId="0">
      <pane xSplit="3" ySplit="1" topLeftCell="D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3" customWidth="1" min="1" max="1"/>
    <col width="18" customWidth="1" min="2" max="2"/>
    <col width="38" customWidth="1" min="3" max="3"/>
    <col width="14" customWidth="1" min="4" max="4"/>
    <col width="15" customWidth="1" min="5" max="5"/>
    <col width="14" customWidth="1" min="6" max="6"/>
    <col width="12" customWidth="1" min="7" max="7"/>
    <col width="11" customWidth="1" min="8" max="8"/>
    <col width="11" customWidth="1" min="9" max="9"/>
    <col width="13" customWidth="1" min="10" max="10"/>
    <col width="14" customWidth="1" min="11" max="11"/>
    <col width="15" customWidth="1" min="12" max="12"/>
    <col width="17" customWidth="1" min="13" max="13"/>
    <col width="17" customWidth="1" min="14" max="14"/>
    <col width="12" customWidth="1" min="15" max="15"/>
    <col width="18" customWidth="1" min="16" max="16"/>
    <col width="16" customWidth="1" min="17" max="17"/>
  </cols>
  <sheetData>
    <row r="1" ht="42" customHeight="1">
      <c r="A1" s="1" t="inlineStr">
        <is>
          <t>Référence</t>
        </is>
      </c>
      <c r="B1" s="1" t="inlineStr">
        <is>
          <t>Emprunteur</t>
        </is>
      </c>
      <c r="C1" s="1" t="inlineStr">
        <is>
          <t>Adresse du bien</t>
        </is>
      </c>
      <c r="D1" s="1" t="inlineStr">
        <is>
          <t>Prix du bien</t>
        </is>
      </c>
      <c r="E1" s="1" t="inlineStr">
        <is>
          <t>Montant emprunté</t>
        </is>
      </c>
      <c r="F1" s="1" t="inlineStr">
        <is>
          <t>Apport personnel</t>
        </is>
      </c>
      <c r="G1" s="1" t="inlineStr">
        <is>
          <t>Durée du prêt (années)</t>
        </is>
      </c>
      <c r="H1" s="1" t="inlineStr">
        <is>
          <t>Taux du prêt</t>
        </is>
      </c>
      <c r="I1" s="1" t="inlineStr">
        <is>
          <t>Quotité assurée</t>
        </is>
      </c>
      <c r="J1" s="1" t="inlineStr">
        <is>
          <t>Taux annuel assurance</t>
        </is>
      </c>
      <c r="K1" s="1" t="inlineStr">
        <is>
          <t>Prime mensuelle estimée</t>
        </is>
      </c>
      <c r="L1" s="1" t="inlineStr">
        <is>
          <t>Coût total assurance</t>
        </is>
      </c>
      <c r="M1" s="1" t="inlineStr">
        <is>
          <t>Coût total crédit hors assurance</t>
        </is>
      </c>
      <c r="N1" s="1" t="inlineStr">
        <is>
          <t>Coût total crédit avec assurance</t>
        </is>
      </c>
      <c r="O1" s="1" t="inlineStr">
        <is>
          <t>TAEA indicatif</t>
        </is>
      </c>
      <c r="P1" s="1" t="inlineStr">
        <is>
          <t>Économie par rapport à l'offre la plus chère</t>
        </is>
      </c>
      <c r="Q1" s="1" t="inlineStr">
        <is>
          <t>Avis</t>
        </is>
      </c>
    </row>
    <row r="2">
      <c r="A2" s="2" t="inlineStr">
        <is>
          <t>OFF-2026-001</t>
        </is>
      </c>
      <c r="B2" s="3" t="inlineStr">
        <is>
          <t>Camille Durand</t>
        </is>
      </c>
      <c r="C2" s="2" t="inlineStr">
        <is>
          <t>12 rue de la République, 69002 Lyon</t>
        </is>
      </c>
      <c r="D2" s="4" t="n">
        <v>245000</v>
      </c>
      <c r="E2" s="4" t="n">
        <v>220000</v>
      </c>
      <c r="F2" s="4">
        <f>D2-E2</f>
        <v/>
      </c>
      <c r="G2" s="5" t="n">
        <v>20</v>
      </c>
      <c r="H2" s="6" t="n">
        <v>0.035</v>
      </c>
      <c r="I2" s="6" t="n">
        <v>1</v>
      </c>
      <c r="J2" s="7" t="n">
        <v>0.0018</v>
      </c>
      <c r="K2" s="4">
        <f>E2*I2*J2/12</f>
        <v/>
      </c>
      <c r="L2" s="4">
        <f>K2*G2*12</f>
        <v/>
      </c>
      <c r="M2" s="4">
        <f>E2*((1+H2/12)^(G2*12)-1)</f>
        <v/>
      </c>
      <c r="N2" s="4">
        <f>M2+L2</f>
        <v/>
      </c>
      <c r="O2" s="6">
        <f>IFERROR(L2/E2/G2,0)</f>
        <v/>
      </c>
      <c r="P2" s="8">
        <f>MAX($L$2:$L$9)-L2</f>
        <v/>
      </c>
      <c r="Q2" s="2">
        <f>IF(J2&lt;=Paramètres!$B$10,"Tarif compétitif",IF(J2&lt;=Paramètres!$B$11,"À comparer","Tarif élevé"))</f>
        <v/>
      </c>
    </row>
    <row r="3">
      <c r="A3" s="9" t="inlineStr">
        <is>
          <t>OFF-2026-002</t>
        </is>
      </c>
      <c r="B3" s="10" t="inlineStr">
        <is>
          <t>Julien Moreau</t>
        </is>
      </c>
      <c r="C3" s="9" t="inlineStr">
        <is>
          <t>8 avenue Victor Hugo, 75116 Paris</t>
        </is>
      </c>
      <c r="D3" s="11" t="n">
        <v>420000</v>
      </c>
      <c r="E3" s="11" t="n">
        <v>350000</v>
      </c>
      <c r="F3" s="11">
        <f>D3-E3</f>
        <v/>
      </c>
      <c r="G3" s="12" t="n">
        <v>25</v>
      </c>
      <c r="H3" s="13" t="n">
        <v>0.0365</v>
      </c>
      <c r="I3" s="13" t="n">
        <v>1</v>
      </c>
      <c r="J3" s="7" t="n">
        <v>0.0028</v>
      </c>
      <c r="K3" s="11">
        <f>E3*I3*J3/12</f>
        <v/>
      </c>
      <c r="L3" s="11">
        <f>K3*G3*12</f>
        <v/>
      </c>
      <c r="M3" s="11">
        <f>E3*((1+H3/12)^(G3*12)-1)</f>
        <v/>
      </c>
      <c r="N3" s="11">
        <f>M3+L3</f>
        <v/>
      </c>
      <c r="O3" s="13">
        <f>IFERROR(L3/E3/G3,0)</f>
        <v/>
      </c>
      <c r="P3" s="14">
        <f>MAX($L$2:$L$9)-L3</f>
        <v/>
      </c>
      <c r="Q3" s="9">
        <f>IF(J3&lt;=Paramètres!$B$10,"Tarif compétitif",IF(J3&lt;=Paramètres!$B$11,"À comparer","Tarif élevé"))</f>
        <v/>
      </c>
    </row>
    <row r="4">
      <c r="A4" s="2" t="inlineStr">
        <is>
          <t>OFF-2026-003</t>
        </is>
      </c>
      <c r="B4" s="3" t="inlineStr">
        <is>
          <t>Sophie Lefèvre</t>
        </is>
      </c>
      <c r="C4" s="2" t="inlineStr">
        <is>
          <t>24 cours Gambetta, 33000 Bordeaux</t>
        </is>
      </c>
      <c r="D4" s="4" t="n">
        <v>285000</v>
      </c>
      <c r="E4" s="4" t="n">
        <v>250000</v>
      </c>
      <c r="F4" s="4">
        <f>D4-E4</f>
        <v/>
      </c>
      <c r="G4" s="5" t="n">
        <v>20</v>
      </c>
      <c r="H4" s="6" t="n">
        <v>0.0345</v>
      </c>
      <c r="I4" s="6" t="n">
        <v>1</v>
      </c>
      <c r="J4" s="7" t="n">
        <v>0.0015</v>
      </c>
      <c r="K4" s="4">
        <f>E4*I4*J4/12</f>
        <v/>
      </c>
      <c r="L4" s="4">
        <f>K4*G4*12</f>
        <v/>
      </c>
      <c r="M4" s="4">
        <f>E4*((1+H4/12)^(G4*12)-1)</f>
        <v/>
      </c>
      <c r="N4" s="4">
        <f>M4+L4</f>
        <v/>
      </c>
      <c r="O4" s="6">
        <f>IFERROR(L4/E4/G4,0)</f>
        <v/>
      </c>
      <c r="P4" s="8">
        <f>MAX($L$2:$L$9)-L4</f>
        <v/>
      </c>
      <c r="Q4" s="2">
        <f>IF(J4&lt;=Paramètres!$B$10,"Tarif compétitif",IF(J4&lt;=Paramètres!$B$11,"À comparer","Tarif élevé"))</f>
        <v/>
      </c>
    </row>
    <row r="5">
      <c r="A5" s="9" t="inlineStr">
        <is>
          <t>OFF-2026-004</t>
        </is>
      </c>
      <c r="B5" s="10" t="inlineStr">
        <is>
          <t>Thomas Bernard</t>
        </is>
      </c>
      <c r="C5" s="9" t="inlineStr">
        <is>
          <t>17 rue Crébillon, 44000 Nantes</t>
        </is>
      </c>
      <c r="D5" s="11" t="n">
        <v>210000</v>
      </c>
      <c r="E5" s="11" t="n">
        <v>185000</v>
      </c>
      <c r="F5" s="11">
        <f>D5-E5</f>
        <v/>
      </c>
      <c r="G5" s="12" t="n">
        <v>20</v>
      </c>
      <c r="H5" s="13" t="n">
        <v>0.0355</v>
      </c>
      <c r="I5" s="13" t="n">
        <v>1</v>
      </c>
      <c r="J5" s="7" t="n">
        <v>0.0022</v>
      </c>
      <c r="K5" s="11">
        <f>E5*I5*J5/12</f>
        <v/>
      </c>
      <c r="L5" s="11">
        <f>K5*G5*12</f>
        <v/>
      </c>
      <c r="M5" s="11">
        <f>E5*((1+H5/12)^(G5*12)-1)</f>
        <v/>
      </c>
      <c r="N5" s="11">
        <f>M5+L5</f>
        <v/>
      </c>
      <c r="O5" s="13">
        <f>IFERROR(L5/E5/G5,0)</f>
        <v/>
      </c>
      <c r="P5" s="14">
        <f>MAX($L$2:$L$9)-L5</f>
        <v/>
      </c>
      <c r="Q5" s="9">
        <f>IF(J5&lt;=Paramètres!$B$10,"Tarif compétitif",IF(J5&lt;=Paramètres!$B$11,"À comparer","Tarif élevé"))</f>
        <v/>
      </c>
    </row>
    <row r="6">
      <c r="A6" s="2" t="inlineStr">
        <is>
          <t>OFF-2026-005</t>
        </is>
      </c>
      <c r="B6" s="3" t="inlineStr">
        <is>
          <t>Léa Martin</t>
        </is>
      </c>
      <c r="C6" s="2" t="inlineStr">
        <is>
          <t>6 boulevard Vauban, 59000 Lille</t>
        </is>
      </c>
      <c r="D6" s="4" t="n">
        <v>198000</v>
      </c>
      <c r="E6" s="4" t="n">
        <v>175000</v>
      </c>
      <c r="F6" s="4">
        <f>D6-E6</f>
        <v/>
      </c>
      <c r="G6" s="5" t="n">
        <v>15</v>
      </c>
      <c r="H6" s="6" t="n">
        <v>0.0335</v>
      </c>
      <c r="I6" s="6" t="n">
        <v>1</v>
      </c>
      <c r="J6" s="7" t="n">
        <v>0.0012</v>
      </c>
      <c r="K6" s="4">
        <f>E6*I6*J6/12</f>
        <v/>
      </c>
      <c r="L6" s="4">
        <f>K6*G6*12</f>
        <v/>
      </c>
      <c r="M6" s="4">
        <f>E6*((1+H6/12)^(G6*12)-1)</f>
        <v/>
      </c>
      <c r="N6" s="4">
        <f>M6+L6</f>
        <v/>
      </c>
      <c r="O6" s="6">
        <f>IFERROR(L6/E6/G6,0)</f>
        <v/>
      </c>
      <c r="P6" s="8">
        <f>MAX($L$2:$L$9)-L6</f>
        <v/>
      </c>
      <c r="Q6" s="2">
        <f>IF(J6&lt;=Paramètres!$B$10,"Tarif compétitif",IF(J6&lt;=Paramètres!$B$11,"À comparer","Tarif élevé"))</f>
        <v/>
      </c>
    </row>
    <row r="7">
      <c r="A7" s="9" t="inlineStr">
        <is>
          <t>OFF-2026-006</t>
        </is>
      </c>
      <c r="B7" s="10" t="inlineStr">
        <is>
          <t>Nicolas Petit</t>
        </is>
      </c>
      <c r="C7" s="9" t="inlineStr">
        <is>
          <t>31 allée Jean Jaurès, 31000 Toulouse</t>
        </is>
      </c>
      <c r="D7" s="11" t="n">
        <v>320000</v>
      </c>
      <c r="E7" s="11" t="n">
        <v>275000</v>
      </c>
      <c r="F7" s="11">
        <f>D7-E7</f>
        <v/>
      </c>
      <c r="G7" s="12" t="n">
        <v>25</v>
      </c>
      <c r="H7" s="13" t="n">
        <v>0.037</v>
      </c>
      <c r="I7" s="13" t="n">
        <v>1</v>
      </c>
      <c r="J7" s="7" t="n">
        <v>0.0035</v>
      </c>
      <c r="K7" s="11">
        <f>E7*I7*J7/12</f>
        <v/>
      </c>
      <c r="L7" s="11">
        <f>K7*G7*12</f>
        <v/>
      </c>
      <c r="M7" s="11">
        <f>E7*((1+H7/12)^(G7*12)-1)</f>
        <v/>
      </c>
      <c r="N7" s="11">
        <f>M7+L7</f>
        <v/>
      </c>
      <c r="O7" s="13">
        <f>IFERROR(L7/E7/G7,0)</f>
        <v/>
      </c>
      <c r="P7" s="14">
        <f>MAX($L$2:$L$9)-L7</f>
        <v/>
      </c>
      <c r="Q7" s="9">
        <f>IF(J7&lt;=Paramètres!$B$10,"Tarif compétitif",IF(J7&lt;=Paramètres!$B$11,"À comparer","Tarif élevé"))</f>
        <v/>
      </c>
    </row>
    <row r="8">
      <c r="A8" s="2" t="inlineStr">
        <is>
          <t>OFF-2026-007</t>
        </is>
      </c>
      <c r="B8" s="3" t="inlineStr">
        <is>
          <t>Émilie Rousseau</t>
        </is>
      </c>
      <c r="C8" s="2" t="inlineStr">
        <is>
          <t>10 quai des Bateliers, 67000 Strasbourg</t>
        </is>
      </c>
      <c r="D8" s="4" t="n">
        <v>230000</v>
      </c>
      <c r="E8" s="4" t="n">
        <v>200000</v>
      </c>
      <c r="F8" s="4">
        <f>D8-E8</f>
        <v/>
      </c>
      <c r="G8" s="5" t="n">
        <v>20</v>
      </c>
      <c r="H8" s="6" t="n">
        <v>0.035</v>
      </c>
      <c r="I8" s="6" t="n">
        <v>1</v>
      </c>
      <c r="J8" s="7" t="n">
        <v>0.002</v>
      </c>
      <c r="K8" s="4">
        <f>E8*I8*J8/12</f>
        <v/>
      </c>
      <c r="L8" s="4">
        <f>K8*G8*12</f>
        <v/>
      </c>
      <c r="M8" s="4">
        <f>E8*((1+H8/12)^(G8*12)-1)</f>
        <v/>
      </c>
      <c r="N8" s="4">
        <f>M8+L8</f>
        <v/>
      </c>
      <c r="O8" s="6">
        <f>IFERROR(L8/E8/G8,0)</f>
        <v/>
      </c>
      <c r="P8" s="8">
        <f>MAX($L$2:$L$9)-L8</f>
        <v/>
      </c>
      <c r="Q8" s="2">
        <f>IF(J8&lt;=Paramètres!$B$10,"Tarif compétitif",IF(J8&lt;=Paramètres!$B$11,"À comparer","Tarif élevé"))</f>
        <v/>
      </c>
    </row>
    <row r="9">
      <c r="A9" s="9" t="inlineStr">
        <is>
          <t>OFF-2026-008</t>
        </is>
      </c>
      <c r="B9" s="10" t="inlineStr">
        <is>
          <t>Antoine Garcia</t>
        </is>
      </c>
      <c r="C9" s="9" t="inlineStr">
        <is>
          <t>4 rue Foch, 34000 Montpellier</t>
        </is>
      </c>
      <c r="D9" s="11" t="n">
        <v>260000</v>
      </c>
      <c r="E9" s="11" t="n">
        <v>225000</v>
      </c>
      <c r="F9" s="11">
        <f>D9-E9</f>
        <v/>
      </c>
      <c r="G9" s="12" t="n">
        <v>20</v>
      </c>
      <c r="H9" s="13" t="n">
        <v>0.036</v>
      </c>
      <c r="I9" s="13" t="n">
        <v>1</v>
      </c>
      <c r="J9" s="7" t="n">
        <v>0.0025</v>
      </c>
      <c r="K9" s="11">
        <f>E9*I9*J9/12</f>
        <v/>
      </c>
      <c r="L9" s="11">
        <f>K9*G9*12</f>
        <v/>
      </c>
      <c r="M9" s="11">
        <f>E9*((1+H9/12)^(G9*12)-1)</f>
        <v/>
      </c>
      <c r="N9" s="11">
        <f>M9+L9</f>
        <v/>
      </c>
      <c r="O9" s="13">
        <f>IFERROR(L9/E9/G9,0)</f>
        <v/>
      </c>
      <c r="P9" s="14">
        <f>MAX($L$2:$L$9)-L9</f>
        <v/>
      </c>
      <c r="Q9" s="9">
        <f>IF(J9&lt;=Paramètres!$B$10,"Tarif compétitif",IF(J9&lt;=Paramètres!$B$11,"À comparer","Tarif élevé"))</f>
        <v/>
      </c>
    </row>
    <row r="10"/>
    <row r="11">
      <c r="A11" s="15" t="n"/>
      <c r="B11" s="16" t="inlineStr">
        <is>
          <t>Total</t>
        </is>
      </c>
      <c r="C11" s="15" t="n"/>
      <c r="D11" s="17">
        <f>SUM(D2:D9)</f>
        <v/>
      </c>
      <c r="E11" s="17">
        <f>SUM(E2:E9)</f>
        <v/>
      </c>
      <c r="F11" s="17">
        <f>SUM(F2:F9)</f>
        <v/>
      </c>
      <c r="G11" s="15" t="n"/>
      <c r="H11" s="18">
        <f>AVERAGE(H2:H9)</f>
        <v/>
      </c>
      <c r="I11" s="15" t="n"/>
      <c r="J11" s="18">
        <f>AVERAGE(J2:J9)</f>
        <v/>
      </c>
      <c r="K11" s="17">
        <f>SUM(K2:K9)</f>
        <v/>
      </c>
      <c r="L11" s="17">
        <f>SUM(L2:L9)</f>
        <v/>
      </c>
      <c r="M11" s="17">
        <f>SUM(M2:M9)</f>
        <v/>
      </c>
      <c r="N11" s="17">
        <f>SUM(N2:N9)</f>
        <v/>
      </c>
      <c r="O11" s="18">
        <f>AVERAGE(O2:O9)</f>
        <v/>
      </c>
      <c r="P11" s="17">
        <f>SUM(P2:P9)</f>
        <v/>
      </c>
      <c r="Q11" s="15" t="n"/>
    </row>
    <row r="12">
      <c r="A12" s="15" t="n"/>
      <c r="B12" s="16" t="inlineStr">
        <is>
          <t>Moyenne</t>
        </is>
      </c>
      <c r="C12" s="15" t="n"/>
      <c r="D12" s="17">
        <f>AVERAGE(D2:D9)</f>
        <v/>
      </c>
      <c r="E12" s="17">
        <f>AVERAGE(E2:E9)</f>
        <v/>
      </c>
      <c r="F12" s="17">
        <f>AVERAGE(F2:F9)</f>
        <v/>
      </c>
      <c r="G12" s="15" t="n"/>
      <c r="H12" s="18">
        <f>AVERAGE(H2:H9)</f>
        <v/>
      </c>
      <c r="I12" s="15" t="n"/>
      <c r="J12" s="18">
        <f>AVERAGE(J2:J9)</f>
        <v/>
      </c>
      <c r="K12" s="17">
        <f>AVERAGE(K2:K9)</f>
        <v/>
      </c>
      <c r="L12" s="17">
        <f>AVERAGE(L2:L9)</f>
        <v/>
      </c>
      <c r="M12" s="17">
        <f>AVERAGE(M2:M9)</f>
        <v/>
      </c>
      <c r="N12" s="17">
        <f>AVERAGE(N2:N9)</f>
        <v/>
      </c>
      <c r="O12" s="18">
        <f>AVERAGE(O2:O9)</f>
        <v/>
      </c>
      <c r="P12" s="17">
        <f>AVERAGE(P2:P9)</f>
        <v/>
      </c>
      <c r="Q12" s="15" t="n"/>
    </row>
    <row r="13">
      <c r="A13" s="15" t="n"/>
      <c r="B13" s="16" t="inlineStr">
        <is>
          <t>Minimum</t>
        </is>
      </c>
      <c r="C13" s="15" t="n"/>
      <c r="D13" s="17">
        <f>MIN(D2:D9)</f>
        <v/>
      </c>
      <c r="E13" s="17">
        <f>MIN(E2:E9)</f>
        <v/>
      </c>
      <c r="F13" s="17">
        <f>MIN(F2:F9)</f>
        <v/>
      </c>
      <c r="G13" s="15" t="n"/>
      <c r="H13" s="18">
        <f>MIN(H2:H9)</f>
        <v/>
      </c>
      <c r="I13" s="15" t="n"/>
      <c r="J13" s="18">
        <f>MIN(J2:J9)</f>
        <v/>
      </c>
      <c r="K13" s="17">
        <f>MIN(K2:K9)</f>
        <v/>
      </c>
      <c r="L13" s="17">
        <f>MIN(L2:L9)</f>
        <v/>
      </c>
      <c r="M13" s="17">
        <f>MIN(M2:M9)</f>
        <v/>
      </c>
      <c r="N13" s="17">
        <f>MIN(N2:N9)</f>
        <v/>
      </c>
      <c r="O13" s="18">
        <f>MIN(O2:O9)</f>
        <v/>
      </c>
      <c r="P13" s="17">
        <f>MIN(P2:P9)</f>
        <v/>
      </c>
      <c r="Q13" s="15" t="n"/>
    </row>
    <row r="14">
      <c r="A14" s="15" t="n"/>
      <c r="B14" s="16" t="inlineStr">
        <is>
          <t>Maximum</t>
        </is>
      </c>
      <c r="C14" s="15" t="n"/>
      <c r="D14" s="17">
        <f>MAX(D2:D9)</f>
        <v/>
      </c>
      <c r="E14" s="17">
        <f>MAX(E2:E9)</f>
        <v/>
      </c>
      <c r="F14" s="17">
        <f>MAX(F2:F9)</f>
        <v/>
      </c>
      <c r="G14" s="15" t="n"/>
      <c r="H14" s="18">
        <f>MAX(H2:H9)</f>
        <v/>
      </c>
      <c r="I14" s="15" t="n"/>
      <c r="J14" s="18">
        <f>MAX(J2:J9)</f>
        <v/>
      </c>
      <c r="K14" s="17">
        <f>MAX(K2:K9)</f>
        <v/>
      </c>
      <c r="L14" s="17">
        <f>MAX(L2:L9)</f>
        <v/>
      </c>
      <c r="M14" s="17">
        <f>MAX(M2:M9)</f>
        <v/>
      </c>
      <c r="N14" s="17">
        <f>MAX(N2:N9)</f>
        <v/>
      </c>
      <c r="O14" s="18">
        <f>MAX(O2:O9)</f>
        <v/>
      </c>
      <c r="P14" s="17">
        <f>MAX(P2:P9)</f>
        <v/>
      </c>
      <c r="Q14" s="15" t="n"/>
    </row>
    <row r="15"/>
    <row r="16">
      <c r="A16" s="19" t="inlineStr">
        <is>
          <t>Simulation par profil emprunteur</t>
        </is>
      </c>
      <c r="B16" s="20" t="n"/>
      <c r="C16" s="20" t="n"/>
      <c r="D16" s="20" t="n"/>
      <c r="E16" s="20" t="n"/>
    </row>
    <row r="17">
      <c r="A17" s="21" t="inlineStr">
        <is>
          <t>Profil sélectionné</t>
        </is>
      </c>
      <c r="B17" s="22" t="inlineStr">
        <is>
          <t>Standard</t>
        </is>
      </c>
    </row>
    <row r="18">
      <c r="A18" s="21" t="inlineStr">
        <is>
          <t>Taux assurance proposé</t>
        </is>
      </c>
      <c r="B18" s="23">
        <f>IFERROR(VLOOKUP(B17,Paramètres!$A$15:$B$18,2,FALSE),"")</f>
        <v/>
      </c>
    </row>
    <row r="19">
      <c r="A19" s="21" t="inlineStr">
        <is>
          <t>Nombre d'offres compétitives</t>
        </is>
      </c>
      <c r="B19" s="24">
        <f>COUNTIF(J2:J9,"&lt;="&amp;Paramètres!$B$10)</f>
        <v/>
      </c>
    </row>
  </sheetData>
  <conditionalFormatting sqref="Q2:Q9">
    <cfRule type="expression" priority="1" dxfId="0" stopIfTrue="1">
      <formula>$Q2="Tarif élevé"</formula>
    </cfRule>
    <cfRule type="expression" priority="2" dxfId="1" stopIfTrue="1">
      <formula>$Q2="Tarif compétitif"</formula>
    </cfRule>
  </conditionalFormatting>
  <dataValidations count="1">
    <dataValidation sqref="B17" showErrorMessage="1" showInputMessage="1" allowBlank="1" type="list">
      <formula1>"Standard,Jeune emprunteur,Risque modéré,Risque élevé"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15" customWidth="1" min="3" max="3"/>
    <col width="15" customWidth="1" min="4" max="4"/>
  </cols>
  <sheetData>
    <row r="1" ht="28" customHeight="1">
      <c r="A1" s="25" t="inlineStr">
        <is>
          <t>Paramètres de calcul — Assurance emprunteur</t>
        </is>
      </c>
    </row>
    <row r="2"/>
    <row r="3">
      <c r="A3" s="26" t="inlineStr">
        <is>
          <t>Paramètres généraux (cellules jaunes modifiables)</t>
        </is>
      </c>
      <c r="B3" s="20" t="n"/>
    </row>
    <row r="4">
      <c r="A4" s="27" t="inlineStr">
        <is>
          <t>Taux moyen du prêt immobilier</t>
        </is>
      </c>
      <c r="B4" s="28" t="n">
        <v>0.035</v>
      </c>
    </row>
    <row r="5">
      <c r="A5" s="27" t="inlineStr">
        <is>
          <t>Quotité par défaut</t>
        </is>
      </c>
      <c r="B5" s="28" t="n">
        <v>1</v>
      </c>
    </row>
    <row r="6">
      <c r="A6" s="27" t="inlineStr">
        <is>
          <t>Durée par défaut (années)</t>
        </is>
      </c>
      <c r="B6" s="29" t="n">
        <v>20</v>
      </c>
    </row>
    <row r="7">
      <c r="A7" s="27" t="inlineStr">
        <is>
          <t>Frais de dossier estimés</t>
        </is>
      </c>
      <c r="B7" s="30" t="n">
        <v>1000</v>
      </c>
    </row>
    <row r="8">
      <c r="A8" s="27" t="inlineStr">
        <is>
          <t>Frais de garantie estimés</t>
        </is>
      </c>
      <c r="B8" s="30" t="n">
        <v>2500</v>
      </c>
    </row>
    <row r="9">
      <c r="A9" s="27" t="inlineStr">
        <is>
          <t>Frais de notaire indicatifs</t>
        </is>
      </c>
      <c r="B9" s="28" t="n">
        <v>0.075</v>
      </c>
    </row>
    <row r="10">
      <c r="A10" s="27" t="inlineStr">
        <is>
          <t>Seuil de tarif compétitif</t>
        </is>
      </c>
      <c r="B10" s="28" t="n">
        <v>0.002</v>
      </c>
    </row>
    <row r="11">
      <c r="A11" s="27" t="inlineStr">
        <is>
          <t>Seuil d'alerte</t>
        </is>
      </c>
      <c r="B11" s="28" t="n">
        <v>0.0035</v>
      </c>
    </row>
    <row r="12"/>
    <row r="13">
      <c r="A13" s="26" t="inlineStr">
        <is>
          <t>Tableau des profils de risque</t>
        </is>
      </c>
      <c r="B13" s="20" t="n"/>
    </row>
    <row r="14">
      <c r="A14" s="31" t="inlineStr">
        <is>
          <t>Profil</t>
        </is>
      </c>
      <c r="B14" s="31" t="inlineStr">
        <is>
          <t>Taux assurance indicatif</t>
        </is>
      </c>
    </row>
    <row r="15">
      <c r="A15" s="32" t="inlineStr">
        <is>
          <t>Standard</t>
        </is>
      </c>
      <c r="B15" s="33" t="n">
        <v>0.002</v>
      </c>
    </row>
    <row r="16">
      <c r="A16" s="34" t="inlineStr">
        <is>
          <t>Jeune emprunteur</t>
        </is>
      </c>
      <c r="B16" s="35" t="n">
        <v>0.0012</v>
      </c>
    </row>
    <row r="17">
      <c r="A17" s="32" t="inlineStr">
        <is>
          <t>Risque modéré</t>
        </is>
      </c>
      <c r="B17" s="33" t="n">
        <v>0.0028</v>
      </c>
    </row>
    <row r="18">
      <c r="A18" s="34" t="inlineStr">
        <is>
          <t>Risque élevé</t>
        </is>
      </c>
      <c r="B18" s="35" t="n">
        <v>0.004</v>
      </c>
    </row>
    <row r="19"/>
    <row r="20">
      <c r="A20" s="26" t="inlineStr">
        <is>
          <t>Indicateurs calculés</t>
        </is>
      </c>
      <c r="B20" s="20" t="n"/>
    </row>
    <row r="21">
      <c r="A21" s="36" t="inlineStr">
        <is>
          <t>Nombre d'offres compétitives</t>
        </is>
      </c>
      <c r="B21" s="37">
        <f>COUNTIF(Comparaison!J2:J9,"&lt;="&amp;B10)</f>
        <v/>
      </c>
    </row>
    <row r="22">
      <c r="A22" s="36" t="inlineStr">
        <is>
          <t>Taux d'assurance moyen constaté</t>
        </is>
      </c>
      <c r="B22" s="38">
        <f>AVERAGE(Comparaison!J2:J9)</f>
        <v/>
      </c>
    </row>
    <row r="23">
      <c r="A23" s="36" t="inlineStr">
        <is>
          <t>Taux d'assurance le plus élevé</t>
        </is>
      </c>
      <c r="B23" s="39">
        <f>MAX(Comparaison!J2:J9)</f>
        <v/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2" customWidth="1" min="1" max="1"/>
    <col width="46" customWidth="1" min="2" max="2"/>
    <col width="14" customWidth="1" min="3" max="3"/>
    <col width="14" customWidth="1" min="4" max="4"/>
    <col width="14" customWidth="1" min="5" max="5"/>
  </cols>
  <sheetData>
    <row r="1" ht="28" customHeight="1">
      <c r="A1" s="25" t="inlineStr">
        <is>
          <t>Synthèse — Coût total de l'assurance emprunteur</t>
        </is>
      </c>
    </row>
    <row r="2"/>
    <row r="3">
      <c r="A3" s="26" t="inlineStr">
        <is>
          <t>Indicateurs clés</t>
        </is>
      </c>
      <c r="B3" s="20" t="n"/>
      <c r="C3" s="20" t="n"/>
    </row>
    <row r="4">
      <c r="A4" s="10" t="inlineStr">
        <is>
          <t>Nombre total d'offres analysées</t>
        </is>
      </c>
      <c r="B4" s="40">
        <f>COUNTA(Comparaison!B2:B9)</f>
        <v/>
      </c>
    </row>
    <row r="5">
      <c r="A5" s="3" t="inlineStr">
        <is>
          <t>Prime mensuelle moyenne</t>
        </is>
      </c>
      <c r="B5" s="41">
        <f>AVERAGE(Comparaison!K2:K9)</f>
        <v/>
      </c>
    </row>
    <row r="6">
      <c r="A6" s="10" t="inlineStr">
        <is>
          <t>Coût total moyen de l'assurance</t>
        </is>
      </c>
      <c r="B6" s="42">
        <f>AVERAGE(Comparaison!L2:L9)</f>
        <v/>
      </c>
    </row>
    <row r="7">
      <c r="A7" s="3" t="inlineStr">
        <is>
          <t>Offre la moins chère</t>
        </is>
      </c>
      <c r="B7" s="32">
        <f>IFERROR(INDEX(Comparaison!B2:B9,MATCH(MIN(Comparaison!L2:L9),Comparaison!L2:L9,0)),"")</f>
        <v/>
      </c>
    </row>
    <row r="8">
      <c r="A8" s="10" t="inlineStr">
        <is>
          <t>Offre la plus chère</t>
        </is>
      </c>
      <c r="B8" s="34">
        <f>IFERROR(INDEX(Comparaison!B2:B9,MATCH(MAX(Comparaison!L2:L9),Comparaison!L2:L9,0)),"")</f>
        <v/>
      </c>
    </row>
    <row r="9">
      <c r="A9" s="3" t="inlineStr">
        <is>
          <t>Économie maximale réalisable</t>
        </is>
      </c>
      <c r="B9" s="43">
        <f>MAX(Comparaison!L2:L9)-MIN(Comparaison!L2:L9)</f>
        <v/>
      </c>
    </row>
    <row r="10">
      <c r="A10" s="10" t="inlineStr">
        <is>
          <t>Part moyenne de l'assurance dans le coût total</t>
        </is>
      </c>
      <c r="B10" s="44">
        <f>IFERROR(AVERAGE(Comparaison!L2:L9)/AVERAGE(Comparaison!N2:N9),0)</f>
        <v/>
      </c>
    </row>
    <row r="11">
      <c r="A11" s="3" t="inlineStr">
        <is>
          <t>Message d'alerte</t>
        </is>
      </c>
      <c r="B11" s="32">
        <f>IF(COUNTIF(Comparaison!J2:J9,"&gt;"&amp;Paramètres!B11)&gt;0,"ALERTE : au moins une offre dépasse le seuil de 0,35 %","Aucune offre au-dessus du seuil d'alerte")</f>
        <v/>
      </c>
    </row>
    <row r="12"/>
    <row r="13"/>
    <row r="14">
      <c r="A14" s="26" t="inlineStr">
        <is>
          <t>Répartition moyenne du coût du crédit</t>
        </is>
      </c>
      <c r="B14" s="20" t="n"/>
    </row>
    <row r="15">
      <c r="A15" s="31" t="inlineStr">
        <is>
          <t>Composante</t>
        </is>
      </c>
      <c r="B15" s="31" t="inlineStr">
        <is>
          <t>Montant moyen</t>
        </is>
      </c>
    </row>
    <row r="16">
      <c r="A16" s="45" t="inlineStr">
        <is>
          <t>Intérêts du prêt</t>
        </is>
      </c>
      <c r="B16" s="46">
        <f>AVERAGE(Comparaison!M2:M9)</f>
        <v/>
      </c>
    </row>
    <row r="17">
      <c r="A17" s="45" t="inlineStr">
        <is>
          <t>Assurance emprunteur</t>
        </is>
      </c>
      <c r="B17" s="46">
        <f>AVERAGE(Comparaison!L2:L9)</f>
        <v/>
      </c>
    </row>
  </sheetData>
  <mergeCells count="1">
    <mergeCell ref="A1:E1"/>
  </mergeCells>
  <conditionalFormatting sqref="B11">
    <cfRule type="expression" priority="1" dxfId="0" stopIfTrue="1">
      <formula>ISNUMBER(SEARCH("ALERTE",B11))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120" customWidth="1" min="1" max="1"/>
    <col width="10" customWidth="1" min="2" max="2"/>
    <col width="10" customWidth="1" min="3" max="3"/>
    <col width="10" customWidth="1" min="4" max="4"/>
  </cols>
  <sheetData>
    <row r="1" ht="28" customHeight="1">
      <c r="A1" s="25" t="inlineStr">
        <is>
          <t>Mode d'emploi — Calcul du coût total de l'assurance emprunteur</t>
        </is>
      </c>
    </row>
    <row r="2"/>
    <row r="3">
      <c r="A3" s="19" t="inlineStr">
        <is>
          <t>Feuille « Comparaison »</t>
        </is>
      </c>
      <c r="B3" s="20" t="n"/>
      <c r="C3" s="20" t="n"/>
      <c r="D3" s="20" t="n"/>
    </row>
    <row r="4">
      <c r="A4" s="47" t="inlineStr">
        <is>
          <t>Tableau de 8 offres d'assurance emprunteur pour des financements immobiliers en France.</t>
        </is>
      </c>
    </row>
    <row r="5">
      <c r="A5" s="47" t="inlineStr">
        <is>
          <t>Colonnes A à E et G à J : données saisies (emprunteur, bien, montant, durée, taux du prêt, quotité, taux d'assurance).</t>
        </is>
      </c>
    </row>
    <row r="6">
      <c r="A6" s="47" t="inlineStr">
        <is>
          <t>Colonne F (Apport personnel) : = prix du bien - montant emprunté.</t>
        </is>
      </c>
    </row>
    <row r="7">
      <c r="A7" s="47" t="inlineStr">
        <is>
          <t>Colonne K (Prime mensuelle estimée) : montant emprunté × quotité × taux assurance / 12.</t>
        </is>
      </c>
    </row>
    <row r="8">
      <c r="A8" s="47" t="inlineStr">
        <is>
          <t>Colonne L (Coût total assurance) : prime mensuelle × durée × 12.</t>
        </is>
      </c>
    </row>
    <row r="9">
      <c r="A9" s="47" t="inlineStr">
        <is>
          <t>Colonne M (Coût total crédit hors assurance) : estimation simplifiée des intérêts du prêt.</t>
        </is>
      </c>
    </row>
    <row r="10">
      <c r="A10" s="47" t="inlineStr">
        <is>
          <t>Colonne N : coût total du crédit assurance comprise. Colonne O : TAEA indicatif.</t>
        </is>
      </c>
    </row>
    <row r="11">
      <c r="A11" s="47" t="inlineStr">
        <is>
          <t>Colonne P : économie réalisée par rapport à l'offre la plus chère du tableau.</t>
        </is>
      </c>
    </row>
    <row r="12">
      <c r="A12" s="47" t="inlineStr">
        <is>
          <t>Colonne Q : avis automatique selon les seuils définis dans la feuille Paramètres.</t>
        </is>
      </c>
    </row>
    <row r="13">
      <c r="A13" s="47" t="inlineStr">
        <is>
          <t>Lignes 11 à 14 : totaux, moyennes, minimums et maximums des montants et taux.</t>
        </is>
      </c>
    </row>
    <row r="14">
      <c r="A14" s="47" t="inlineStr">
        <is>
          <t>Zone « Simulation par profil » (lignes 16 à 19) : choisir un profil dans la liste déroulante pour obtenir le taux indicatif (recherche dans le tableau des profils) et le nombre d'offres compétitives.</t>
        </is>
      </c>
    </row>
    <row r="15">
      <c r="A15" s="47" t="inlineStr"/>
    </row>
    <row r="16">
      <c r="A16" s="19" t="inlineStr">
        <is>
          <t>Feuille « Paramètres »</t>
        </is>
      </c>
      <c r="B16" s="20" t="n"/>
      <c r="C16" s="20" t="n"/>
      <c r="D16" s="20" t="n"/>
    </row>
    <row r="17">
      <c r="A17" s="47" t="inlineStr">
        <is>
          <t>Cellules jaunes modifiables : taux moyen du prêt, quotité et durée par défaut, frais de dossier, de garantie et de notaire, seuils de tarif compétitif (0,20 %) et d'alerte (0,35 %).</t>
        </is>
      </c>
    </row>
    <row r="18">
      <c r="A18" s="47" t="inlineStr">
        <is>
          <t>Tableau des profils de risque : Standard 0,20 %, Jeune emprunteur 0,12 %, Risque modéré 0,28 %, Risque élevé 0,40 %.</t>
        </is>
      </c>
    </row>
    <row r="19">
      <c r="A19" s="47" t="inlineStr">
        <is>
          <t>Indicateurs calculés : nombre d'offres compétitives, taux moyen et taux maximal constatés.</t>
        </is>
      </c>
    </row>
    <row r="20">
      <c r="A20" s="47" t="inlineStr"/>
    </row>
    <row r="21">
      <c r="A21" s="19" t="inlineStr">
        <is>
          <t>Feuille « Synthèse »</t>
        </is>
      </c>
      <c r="B21" s="20" t="n"/>
      <c r="C21" s="20" t="n"/>
      <c r="D21" s="20" t="n"/>
    </row>
    <row r="22">
      <c r="A22" s="47" t="inlineStr">
        <is>
          <t>Indicateurs clés : nombre d'offres, prime mensuelle moyenne, coût total moyen de l'assurance, offres extrêmes, économie maximale réalisable, part moyenne de l'assurance dans le coût total du crédit.</t>
        </is>
      </c>
    </row>
    <row r="23">
      <c r="A23" s="47" t="inlineStr">
        <is>
          <t>Message d'alerte automatique si au moins un taux dépasse le seuil de 0,35 %.</t>
        </is>
      </c>
    </row>
    <row r="24">
      <c r="A24" s="47" t="inlineStr">
        <is>
          <t>Trois graphiques : coût total de l'assurance par emprunteur (histogramme), répartition moyenne intérêts / assurance (secteurs), prime mensuelle par offre (barres horizontales).</t>
        </is>
      </c>
    </row>
    <row r="25">
      <c r="A25" s="47" t="inlineStr"/>
    </row>
    <row r="26">
      <c r="A26" s="19" t="inlineStr">
        <is>
          <t>Conseils</t>
        </is>
      </c>
      <c r="B26" s="20" t="n"/>
      <c r="C26" s="20" t="n"/>
      <c r="D26" s="20" t="n"/>
    </row>
    <row r="27">
      <c r="A27" s="47" t="inlineStr">
        <is>
          <t>Modifiez les taux d'assurance (colonne J de la feuille Comparaison, fond jaune) pour simuler d'autres offres : tous les calculs, indicateurs et graphiques se mettent à jour automatiquement.</t>
        </is>
      </c>
    </row>
    <row r="28">
      <c r="A28" s="47" t="inlineStr">
        <is>
          <t>Les montants sont exprimés en euros, les taux en pourcentage annuel. Les formules sont des estimations simplifiées à but comparatif.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2026-07-29T02:52:43Z</dcterms:created>
  <dcterms:modified xmlns:dcterms="http://purl.org/dc/terms/" xmlns:xsi="http://www.w3.org/2001/XMLSchema-instance" xsi:type="dcterms:W3CDTF">2026-07-29T02:52:43Z</dcterms:modified>
</cp:coreProperties>
</file>