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rnet_Entretien" sheetId="1" state="visible" r:id="rId1"/>
    <sheet xmlns:r="http://schemas.openxmlformats.org/officeDocument/2006/relationships" name="Référentiels" sheetId="2" state="visible" r:id="rId2"/>
    <sheet xmlns:r="http://schemas.openxmlformats.org/officeDocument/2006/relationships" name="Tableau_de_bo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# ##0,00 €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  <color rgb="001E293B"/>
      <sz val="12"/>
    </font>
    <font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2" fillId="6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9" fontId="0" fillId="5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CA5A5"/>
        </patternFill>
      </fill>
    </dxf>
    <dxf>
      <fill>
        <patternFill patternType="solid">
          <fgColor rgb="00FDE68A"/>
        </patternFill>
      </fill>
    </dxf>
    <dxf>
      <font>
        <b val="1"/>
        <color rgb="0022C55E"/>
      </font>
      <fill>
        <patternFill patternType="solid">
          <fgColor rgb="00BBF7D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Coût total TTC par catégorie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'Tableau_de_bord'!C13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'Tableau_de_bord'!$A$14:$A$22</f>
            </numRef>
          </cat>
          <val>
            <numRef>
              <f>'Tableau_de_bord'!$C$14:$C$22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TTC (€)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Catégorie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interventions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'Tableau_de_bord'!B35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'Tableau_de_bord'!$A$36:$A$39</f>
            </numRef>
          </cat>
          <val>
            <numRef>
              <f>'Tableau_de_bord'!$B$36:$B$39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mensuelle des dépenses TTC</a:t>
            </a:r>
          </a:p>
        </rich>
      </tx>
    </title>
    <plotArea>
      <lineChart>
        <grouping val="standard"/>
        <ser>
          <idx val="0"/>
          <order val="0"/>
          <tx>
            <strRef>
              <f>'Tableau_de_bord'!C43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 w="22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'Tableau_de_bord'!$A$44:$A$55</f>
            </numRef>
          </cat>
          <val>
            <numRef>
              <f>'Tableau_de_bord'!$C$44:$C$55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TTC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1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13</col>
      <colOff>0</colOff>
      <row>1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30" customWidth="1" min="3" max="3"/>
    <col width="26" customWidth="1" min="4" max="4"/>
    <col width="18" customWidth="1" min="5" max="5"/>
    <col width="24" customWidth="1" min="6" max="6"/>
    <col width="16" customWidth="1" min="7" max="7"/>
    <col width="24" customWidth="1" min="8" max="8"/>
    <col width="18" customWidth="1" min="9" max="9"/>
    <col width="34" customWidth="1" min="10" max="10"/>
    <col width="20" customWidth="1" min="11" max="11"/>
    <col width="13" customWidth="1" min="12" max="12"/>
    <col width="8" customWidth="1" min="13" max="13"/>
    <col width="13" customWidth="1" min="14" max="14"/>
    <col width="14" customWidth="1" min="15" max="15"/>
    <col width="18" customWidth="1" min="16" max="16"/>
    <col width="18" customWidth="1" min="17" max="17"/>
    <col width="12" customWidth="1" min="18" max="18"/>
    <col width="30" customWidth="1" min="19" max="19"/>
    <col width="32" customWidth="1" min="20" max="20"/>
  </cols>
  <sheetData>
    <row r="1" ht="26" customHeight="1">
      <c r="A1" s="1" t="inlineStr">
        <is>
          <t>CARNET D'ENTRETIEN DE L'IMMEUBLE - COPROPRIÉTÉ 2026</t>
        </is>
      </c>
    </row>
    <row r="2" ht="34" customHeight="1">
      <c r="A2" s="2" t="inlineStr">
        <is>
          <t>ID intervention</t>
        </is>
      </c>
      <c r="B2" s="2" t="inlineStr">
        <is>
          <t>Date intervention</t>
        </is>
      </c>
      <c r="C2" s="2" t="inlineStr">
        <is>
          <t>Bâtiment / Escalier</t>
        </is>
      </c>
      <c r="D2" s="2" t="inlineStr">
        <is>
          <t>Équipement / Poste</t>
        </is>
      </c>
      <c r="E2" s="2" t="inlineStr">
        <is>
          <t>Catégorie</t>
        </is>
      </c>
      <c r="F2" s="2" t="inlineStr">
        <is>
          <t>Prestataire</t>
        </is>
      </c>
      <c r="G2" s="2" t="inlineStr">
        <is>
          <t>SIRET prestataire</t>
        </is>
      </c>
      <c r="H2" s="2" t="inlineStr">
        <is>
          <t>Contact</t>
        </is>
      </c>
      <c r="I2" s="2" t="inlineStr">
        <is>
          <t>Type d'intervention</t>
        </is>
      </c>
      <c r="J2" s="2" t="inlineStr">
        <is>
          <t>Description</t>
        </is>
      </c>
      <c r="K2" s="2" t="inlineStr">
        <is>
          <t>Référence contrat / devis / PV</t>
        </is>
      </c>
      <c r="L2" s="2" t="inlineStr">
        <is>
          <t>Montant HT</t>
        </is>
      </c>
      <c r="M2" s="2" t="inlineStr">
        <is>
          <t>TVA %</t>
        </is>
      </c>
      <c r="N2" s="2" t="inlineStr">
        <is>
          <t>Montant TTC</t>
        </is>
      </c>
      <c r="O2" s="2" t="inlineStr">
        <is>
          <t>Périodicité</t>
        </is>
      </c>
      <c r="P2" s="2" t="inlineStr">
        <is>
          <t>Date dernière intervention</t>
        </is>
      </c>
      <c r="Q2" s="2" t="inlineStr">
        <is>
          <t>Date prochaine échéance</t>
        </is>
      </c>
      <c r="R2" s="2" t="inlineStr">
        <is>
          <t>Statut</t>
        </is>
      </c>
      <c r="S2" s="2" t="inlineStr">
        <is>
          <t>Observations</t>
        </is>
      </c>
      <c r="T2" s="2" t="inlineStr">
        <is>
          <t>Lien document / archive</t>
        </is>
      </c>
    </row>
    <row r="3">
      <c r="A3" s="3" t="inlineStr">
        <is>
          <t>INT-2026-001</t>
        </is>
      </c>
      <c r="B3" s="4" t="inlineStr">
        <is>
          <t>15/01/2026</t>
        </is>
      </c>
      <c r="C3" s="5" t="inlineStr">
        <is>
          <t>12 rue de la République, 69002 Lyon</t>
        </is>
      </c>
      <c r="D3" s="5" t="inlineStr">
        <is>
          <t>Ascenseur cabine hydraulique</t>
        </is>
      </c>
      <c r="E3" s="3" t="inlineStr">
        <is>
          <t>Ascenseur</t>
        </is>
      </c>
      <c r="F3" s="3" t="inlineStr">
        <is>
          <t>Otis Ascenseurs SAS</t>
        </is>
      </c>
      <c r="G3" s="3" t="inlineStr">
        <is>
          <t>40234567800123</t>
        </is>
      </c>
      <c r="H3" s="5" t="inlineStr">
        <is>
          <t>M. Lambert - 04 78 12 34 56</t>
        </is>
      </c>
      <c r="I3" s="3" t="inlineStr">
        <is>
          <t>Contrôle réglementaire</t>
        </is>
      </c>
      <c r="J3" s="5" t="inlineStr">
        <is>
          <t>Contrôle annuel de l'ascenseur (arrêté du 18/11/2004)</t>
        </is>
      </c>
      <c r="K3" s="3" t="inlineStr">
        <is>
          <t>CT-2026-011</t>
        </is>
      </c>
      <c r="L3" s="6" t="n">
        <v>650</v>
      </c>
      <c r="M3" s="7" t="n">
        <v>0.2</v>
      </c>
      <c r="N3" s="8">
        <f>IFERROR(L3*(1+M3),0)</f>
        <v/>
      </c>
      <c r="O3" s="9" t="inlineStr">
        <is>
          <t>Annuelle</t>
        </is>
      </c>
      <c r="P3" s="10" t="inlineStr">
        <is>
          <t>15/01/2026</t>
        </is>
      </c>
      <c r="Q3" s="4">
        <f>IFERROR(IF(O3="Mensuelle",EDATE(P3,1),IF(O3="Trimestrielle",EDATE(P3,3),IF(O3="Semestrielle",EDATE(P3,6),IF(O3="Annuelle",EDATE(P3,12),P3)))),P3)</f>
        <v/>
      </c>
      <c r="R3" s="3">
        <f>IFERROR(IF(Q3&lt;TODAY(),"En retard",IF(AND(B3&lt;=TODAY(),Q3&gt;TODAY()+30),"Réalisé",IF(Q3&lt;=TODAY()+30,"À valider","Prévu"))),"")</f>
        <v/>
      </c>
      <c r="S3" s="11" t="inlineStr">
        <is>
          <t>Réalisé</t>
        </is>
      </c>
      <c r="T3" s="3" t="inlineStr">
        <is>
          <t>RAS, prochain contrôle programmé</t>
        </is>
      </c>
    </row>
    <row r="4">
      <c r="A4" s="12" t="inlineStr">
        <is>
          <t>INT-2026-002</t>
        </is>
      </c>
      <c r="B4" s="13" t="inlineStr">
        <is>
          <t>20/02/2026</t>
        </is>
      </c>
      <c r="C4" s="14" t="inlineStr">
        <is>
          <t>8 avenue Victor Hugo, 75116 Paris</t>
        </is>
      </c>
      <c r="D4" s="14" t="inlineStr">
        <is>
          <t>Groupe VMC parties communes</t>
        </is>
      </c>
      <c r="E4" s="12" t="inlineStr">
        <is>
          <t>VMC</t>
        </is>
      </c>
      <c r="F4" s="12" t="inlineStr">
        <is>
          <t>Aeroterm Ventilation</t>
        </is>
      </c>
      <c r="G4" s="12" t="inlineStr">
        <is>
          <t>41234567800234</t>
        </is>
      </c>
      <c r="H4" s="14" t="inlineStr">
        <is>
          <t>Mme Petit - 01 45 67 89 01</t>
        </is>
      </c>
      <c r="I4" s="12" t="inlineStr">
        <is>
          <t>Préventive</t>
        </is>
      </c>
      <c r="J4" s="14" t="inlineStr">
        <is>
          <t>Entretien annuel du groupe VMC et nettoyage des bouches</t>
        </is>
      </c>
      <c r="K4" s="12" t="inlineStr">
        <is>
          <t>CT-2026-022</t>
        </is>
      </c>
      <c r="L4" s="6" t="n">
        <v>350</v>
      </c>
      <c r="M4" s="7" t="n">
        <v>0.2</v>
      </c>
      <c r="N4" s="15">
        <f>IFERROR(L4*(1+M4),0)</f>
        <v/>
      </c>
      <c r="O4" s="9" t="inlineStr">
        <is>
          <t>Annuelle</t>
        </is>
      </c>
      <c r="P4" s="10" t="inlineStr">
        <is>
          <t>20/02/2026</t>
        </is>
      </c>
      <c r="Q4" s="13">
        <f>IFERROR(IF(O4="Mensuelle",EDATE(P4,1),IF(O4="Trimestrielle",EDATE(P4,3),IF(O4="Semestrielle",EDATE(P4,6),IF(O4="Annuelle",EDATE(P4,12),P4)))),P4)</f>
        <v/>
      </c>
      <c r="R4" s="12">
        <f>IFERROR(IF(Q4&lt;TODAY(),"En retard",IF(AND(B4&lt;=TODAY(),Q4&gt;TODAY()+30),"Réalisé",IF(Q4&lt;=TODAY()+30,"À valider","Prévu"))),"")</f>
        <v/>
      </c>
      <c r="S4" s="11" t="inlineStr">
        <is>
          <t>Réalisé</t>
        </is>
      </c>
      <c r="T4" s="12" t="inlineStr">
        <is>
          <t>Filtres remplacés</t>
        </is>
      </c>
    </row>
    <row r="5">
      <c r="A5" s="3" t="inlineStr">
        <is>
          <t>INT-2026-003</t>
        </is>
      </c>
      <c r="B5" s="4" t="inlineStr">
        <is>
          <t>20/01/2026</t>
        </is>
      </c>
      <c r="C5" s="5" t="inlineStr">
        <is>
          <t>24 cours Gambetta, 33000 Bordeaux</t>
        </is>
      </c>
      <c r="D5" s="5" t="inlineStr">
        <is>
          <t>Extincteurs et SSI</t>
        </is>
      </c>
      <c r="E5" s="3" t="inlineStr">
        <is>
          <t>Sécurité incendie</t>
        </is>
      </c>
      <c r="F5" s="3" t="inlineStr">
        <is>
          <t>Sécurité Incendie Rhône SARL</t>
        </is>
      </c>
      <c r="G5" s="3" t="inlineStr">
        <is>
          <t>42234567800345</t>
        </is>
      </c>
      <c r="H5" s="5" t="inlineStr">
        <is>
          <t>M. Faure - 05 56 23 45 67</t>
        </is>
      </c>
      <c r="I5" s="3" t="inlineStr">
        <is>
          <t>Contrôle réglementaire</t>
        </is>
      </c>
      <c r="J5" s="5" t="inlineStr">
        <is>
          <t>Vérification annuelle des extincteurs et du système de sécurité incendie</t>
        </is>
      </c>
      <c r="K5" s="3" t="inlineStr">
        <is>
          <t>DV-2026-033</t>
        </is>
      </c>
      <c r="L5" s="6" t="n">
        <v>300</v>
      </c>
      <c r="M5" s="7" t="n">
        <v>0.2</v>
      </c>
      <c r="N5" s="8">
        <f>IFERROR(L5*(1+M5),0)</f>
        <v/>
      </c>
      <c r="O5" s="9" t="inlineStr">
        <is>
          <t>Semestrielle</t>
        </is>
      </c>
      <c r="P5" s="10" t="inlineStr">
        <is>
          <t>20/01/2026</t>
        </is>
      </c>
      <c r="Q5" s="4">
        <f>IFERROR(IF(O5="Mensuelle",EDATE(P5,1),IF(O5="Trimestrielle",EDATE(P5,3),IF(O5="Semestrielle",EDATE(P5,6),IF(O5="Annuelle",EDATE(P5,12),P5)))),P5)</f>
        <v/>
      </c>
      <c r="R5" s="3">
        <f>IFERROR(IF(Q5&lt;TODAY(),"En retard",IF(AND(B5&lt;=TODAY(),Q5&gt;TODAY()+30),"Réalisé",IF(Q5&lt;=TODAY()+30,"À valider","Prévu"))),"")</f>
        <v/>
      </c>
      <c r="S5" s="11" t="inlineStr">
        <is>
          <t>À valider</t>
        </is>
      </c>
      <c r="T5" s="3" t="inlineStr">
        <is>
          <t>Devis de remplacement à valider</t>
        </is>
      </c>
    </row>
    <row r="6">
      <c r="A6" s="12" t="inlineStr">
        <is>
          <t>INT-2026-004</t>
        </is>
      </c>
      <c r="B6" s="13" t="inlineStr">
        <is>
          <t>10/03/2026</t>
        </is>
      </c>
      <c r="C6" s="14" t="inlineStr">
        <is>
          <t>Résidence Le Prado, Marseille 6e</t>
        </is>
      </c>
      <c r="D6" s="14" t="inlineStr">
        <is>
          <t>Porte piétonne automatique</t>
        </is>
      </c>
      <c r="E6" s="12" t="inlineStr">
        <is>
          <t>Porte automatique</t>
        </is>
      </c>
      <c r="F6" s="12" t="inlineStr">
        <is>
          <t>Portalp Automatismes</t>
        </is>
      </c>
      <c r="G6" s="12" t="inlineStr">
        <is>
          <t>43234567800456</t>
        </is>
      </c>
      <c r="H6" s="14" t="inlineStr">
        <is>
          <t>M. Roux - 04 91 22 33 44</t>
        </is>
      </c>
      <c r="I6" s="12" t="inlineStr">
        <is>
          <t>Préventive</t>
        </is>
      </c>
      <c r="J6" s="14" t="inlineStr">
        <is>
          <t>Maintenance semestrielle de la porte automatique du hall</t>
        </is>
      </c>
      <c r="K6" s="12" t="inlineStr">
        <is>
          <t>CT-2026-044</t>
        </is>
      </c>
      <c r="L6" s="6" t="n">
        <v>425</v>
      </c>
      <c r="M6" s="7" t="n">
        <v>0.2</v>
      </c>
      <c r="N6" s="15">
        <f>IFERROR(L6*(1+M6),0)</f>
        <v/>
      </c>
      <c r="O6" s="9" t="inlineStr">
        <is>
          <t>Semestrielle</t>
        </is>
      </c>
      <c r="P6" s="10" t="inlineStr">
        <is>
          <t>10/03/2026</t>
        </is>
      </c>
      <c r="Q6" s="13">
        <f>IFERROR(IF(O6="Mensuelle",EDATE(P6,1),IF(O6="Trimestrielle",EDATE(P6,3),IF(O6="Semestrielle",EDATE(P6,6),IF(O6="Annuelle",EDATE(P6,12),P6)))),P6)</f>
        <v/>
      </c>
      <c r="R6" s="12">
        <f>IFERROR(IF(Q6&lt;TODAY(),"En retard",IF(AND(B6&lt;=TODAY(),Q6&gt;TODAY()+30),"Réalisé",IF(Q6&lt;=TODAY()+30,"À valider","Prévu"))),"")</f>
        <v/>
      </c>
      <c r="S6" s="11" t="inlineStr">
        <is>
          <t>Réalisé</t>
        </is>
      </c>
      <c r="T6" s="12" t="inlineStr">
        <is>
          <t>Graissage et réglage effectués</t>
        </is>
      </c>
    </row>
    <row r="7">
      <c r="A7" s="3" t="inlineStr">
        <is>
          <t>INT-2026-005</t>
        </is>
      </c>
      <c r="B7" s="4" t="inlineStr">
        <is>
          <t>15/09/2026</t>
        </is>
      </c>
      <c r="C7" s="5" t="inlineStr">
        <is>
          <t>Résidence Capitole, Toulouse centre</t>
        </is>
      </c>
      <c r="D7" s="5" t="inlineStr">
        <is>
          <t>Toiture / évacuations EP</t>
        </is>
      </c>
      <c r="E7" s="3" t="inlineStr">
        <is>
          <t>Toiture</t>
        </is>
      </c>
      <c r="F7" s="3" t="inlineStr">
        <is>
          <t>Couverture Toulousaine SARL</t>
        </is>
      </c>
      <c r="G7" s="3" t="inlineStr">
        <is>
          <t>44234567800567</t>
        </is>
      </c>
      <c r="H7" s="5" t="inlineStr">
        <is>
          <t>M. Blanc - 05 61 33 44 55</t>
        </is>
      </c>
      <c r="I7" s="3" t="inlineStr">
        <is>
          <t>Préventive</t>
        </is>
      </c>
      <c r="J7" s="5" t="inlineStr">
        <is>
          <t>Nettoyage de la toiture et des évacuations d'eaux pluviales</t>
        </is>
      </c>
      <c r="K7" s="3" t="inlineStr">
        <is>
          <t>DV-2026-055</t>
        </is>
      </c>
      <c r="L7" s="6" t="n">
        <v>1045.45</v>
      </c>
      <c r="M7" s="7" t="n">
        <v>0.1</v>
      </c>
      <c r="N7" s="8">
        <f>IFERROR(L7*(1+M7),0)</f>
        <v/>
      </c>
      <c r="O7" s="9" t="inlineStr">
        <is>
          <t>Semestrielle</t>
        </is>
      </c>
      <c r="P7" s="10" t="inlineStr">
        <is>
          <t>15/03/2026</t>
        </is>
      </c>
      <c r="Q7" s="4">
        <f>IFERROR(IF(O7="Mensuelle",EDATE(P7,1),IF(O7="Trimestrielle",EDATE(P7,3),IF(O7="Semestrielle",EDATE(P7,6),IF(O7="Annuelle",EDATE(P7,12),P7)))),P7)</f>
        <v/>
      </c>
      <c r="R7" s="3">
        <f>IFERROR(IF(Q7&lt;TODAY(),"En retard",IF(AND(B7&lt;=TODAY(),Q7&gt;TODAY()+30),"Réalisé",IF(Q7&lt;=TODAY()+30,"À valider","Prévu"))),"")</f>
        <v/>
      </c>
      <c r="S7" s="11" t="inlineStr">
        <is>
          <t>Prévu</t>
        </is>
      </c>
      <c r="T7" s="3" t="inlineStr">
        <is>
          <t>Intervention programmée avant l'automne</t>
        </is>
      </c>
    </row>
    <row r="8">
      <c r="A8" s="12" t="inlineStr">
        <is>
          <t>INT-2026-006</t>
        </is>
      </c>
      <c r="B8" s="13" t="inlineStr">
        <is>
          <t>01/04/2026</t>
        </is>
      </c>
      <c r="C8" s="14" t="inlineStr">
        <is>
          <t>5 rue des Lilas, 44000 Nantes</t>
        </is>
      </c>
      <c r="D8" s="14" t="inlineStr">
        <is>
          <t>Chaudière gaz collective</t>
        </is>
      </c>
      <c r="E8" s="12" t="inlineStr">
        <is>
          <t>Chaudière collective</t>
        </is>
      </c>
      <c r="F8" s="12" t="inlineStr">
        <is>
          <t>ChauffElec Services</t>
        </is>
      </c>
      <c r="G8" s="12" t="inlineStr">
        <is>
          <t>45234567800678</t>
        </is>
      </c>
      <c r="H8" s="14" t="inlineStr">
        <is>
          <t>Mme Girard - 02 40 55 66 77</t>
        </is>
      </c>
      <c r="I8" s="12" t="inlineStr">
        <is>
          <t>Contrôle réglementaire</t>
        </is>
      </c>
      <c r="J8" s="14" t="inlineStr">
        <is>
          <t>Contrôle annuel et entretien de la chaudière collective</t>
        </is>
      </c>
      <c r="K8" s="12" t="inlineStr">
        <is>
          <t>CT-2026-066</t>
        </is>
      </c>
      <c r="L8" s="6" t="n">
        <v>741.67</v>
      </c>
      <c r="M8" s="7" t="n">
        <v>0.2</v>
      </c>
      <c r="N8" s="15">
        <f>IFERROR(L8*(1+M8),0)</f>
        <v/>
      </c>
      <c r="O8" s="9" t="inlineStr">
        <is>
          <t>Annuelle</t>
        </is>
      </c>
      <c r="P8" s="10" t="inlineStr">
        <is>
          <t>01/04/2026</t>
        </is>
      </c>
      <c r="Q8" s="13">
        <f>IFERROR(IF(O8="Mensuelle",EDATE(P8,1),IF(O8="Trimestrielle",EDATE(P8,3),IF(O8="Semestrielle",EDATE(P8,6),IF(O8="Annuelle",EDATE(P8,12),P8)))),P8)</f>
        <v/>
      </c>
      <c r="R8" s="12">
        <f>IFERROR(IF(Q8&lt;TODAY(),"En retard",IF(AND(B8&lt;=TODAY(),Q8&gt;TODAY()+30),"Réalisé",IF(Q8&lt;=TODAY()+30,"À valider","Prévu"))),"")</f>
        <v/>
      </c>
      <c r="S8" s="11" t="inlineStr">
        <is>
          <t>Réalisé</t>
        </is>
      </c>
      <c r="T8" s="12" t="inlineStr">
        <is>
          <t>Rendement conforme</t>
        </is>
      </c>
    </row>
    <row r="9">
      <c r="A9" s="3" t="inlineStr">
        <is>
          <t>INT-2026-007</t>
        </is>
      </c>
      <c r="B9" s="4" t="inlineStr">
        <is>
          <t>05/05/2026</t>
        </is>
      </c>
      <c r="C9" s="5" t="inlineStr">
        <is>
          <t>Résidence Vauban, Lille</t>
        </is>
      </c>
      <c r="D9" s="5" t="inlineStr">
        <is>
          <t>Éclairage parties communes</t>
        </is>
      </c>
      <c r="E9" s="3" t="inlineStr">
        <is>
          <t>Réseau électrique</t>
        </is>
      </c>
      <c r="F9" s="3" t="inlineStr">
        <is>
          <t>Elec Confort SARL</t>
        </is>
      </c>
      <c r="G9" s="3" t="inlineStr">
        <is>
          <t>46234567800789</t>
        </is>
      </c>
      <c r="H9" s="5" t="inlineStr">
        <is>
          <t>M. Simon - 03 20 44 55 66</t>
        </is>
      </c>
      <c r="I9" s="3" t="inlineStr">
        <is>
          <t>Corrective</t>
        </is>
      </c>
      <c r="J9" s="5" t="inlineStr">
        <is>
          <t>Dépannage de l'éclairage minuterie du hall d'entrée</t>
        </is>
      </c>
      <c r="K9" s="3" t="inlineStr">
        <is>
          <t>PV-2026-077</t>
        </is>
      </c>
      <c r="L9" s="6" t="n">
        <v>200</v>
      </c>
      <c r="M9" s="7" t="n">
        <v>0.2</v>
      </c>
      <c r="N9" s="8">
        <f>IFERROR(L9*(1+M9),0)</f>
        <v/>
      </c>
      <c r="O9" s="9" t="inlineStr">
        <is>
          <t>Annuelle</t>
        </is>
      </c>
      <c r="P9" s="10" t="inlineStr">
        <is>
          <t>05/05/2026</t>
        </is>
      </c>
      <c r="Q9" s="4">
        <f>IFERROR(IF(O9="Mensuelle",EDATE(P9,1),IF(O9="Trimestrielle",EDATE(P9,3),IF(O9="Semestrielle",EDATE(P9,6),IF(O9="Annuelle",EDATE(P9,12),P9)))),P9)</f>
        <v/>
      </c>
      <c r="R9" s="3">
        <f>IFERROR(IF(Q9&lt;TODAY(),"En retard",IF(AND(B9&lt;=TODAY(),Q9&gt;TODAY()+30),"Réalisé",IF(Q9&lt;=TODAY()+30,"À valider","Prévu"))),"")</f>
        <v/>
      </c>
      <c r="S9" s="11" t="inlineStr">
        <is>
          <t>Réalisé</t>
        </is>
      </c>
      <c r="T9" s="3" t="inlineStr">
        <is>
          <t>Détecteur remplacé</t>
        </is>
      </c>
    </row>
    <row r="10">
      <c r="A10" s="12" t="inlineStr">
        <is>
          <t>INT-2026-008</t>
        </is>
      </c>
      <c r="B10" s="13" t="inlineStr">
        <is>
          <t>01/05/2026</t>
        </is>
      </c>
      <c r="C10" s="14" t="inlineStr">
        <is>
          <t>Résidence Promenade, Nice</t>
        </is>
      </c>
      <c r="D10" s="14" t="inlineStr">
        <is>
          <t>Espaces verts et haies</t>
        </is>
      </c>
      <c r="E10" s="12" t="inlineStr">
        <is>
          <t>Espaces verts</t>
        </is>
      </c>
      <c r="F10" s="12" t="inlineStr">
        <is>
          <t>Espaces Verts Azur</t>
        </is>
      </c>
      <c r="G10" s="12" t="inlineStr">
        <is>
          <t>47234567800890</t>
        </is>
      </c>
      <c r="H10" s="14" t="inlineStr">
        <is>
          <t>M. Perrin - 04 93 44 55 66</t>
        </is>
      </c>
      <c r="I10" s="12" t="inlineStr">
        <is>
          <t>Préventive</t>
        </is>
      </c>
      <c r="J10" s="14" t="inlineStr">
        <is>
          <t>Entretien mensuel des espaces verts et taille des haies</t>
        </is>
      </c>
      <c r="K10" s="12" t="inlineStr">
        <is>
          <t>CT-2026-088</t>
        </is>
      </c>
      <c r="L10" s="6" t="n">
        <v>300</v>
      </c>
      <c r="M10" s="7" t="n">
        <v>0.1</v>
      </c>
      <c r="N10" s="15">
        <f>IFERROR(L10*(1+M10),0)</f>
        <v/>
      </c>
      <c r="O10" s="9" t="inlineStr">
        <is>
          <t>Mensuelle</t>
        </is>
      </c>
      <c r="P10" s="10" t="inlineStr">
        <is>
          <t>01/05/2026</t>
        </is>
      </c>
      <c r="Q10" s="13">
        <f>IFERROR(IF(O10="Mensuelle",EDATE(P10,1),IF(O10="Trimestrielle",EDATE(P10,3),IF(O10="Semestrielle",EDATE(P10,6),IF(O10="Annuelle",EDATE(P10,12),P10)))),P10)</f>
        <v/>
      </c>
      <c r="R10" s="12">
        <f>IFERROR(IF(Q10&lt;TODAY(),"En retard",IF(AND(B10&lt;=TODAY(),Q10&gt;TODAY()+30),"Réalisé",IF(Q10&lt;=TODAY()+30,"À valider","Prévu"))),"")</f>
        <v/>
      </c>
      <c r="S10" s="11" t="inlineStr">
        <is>
          <t>En retard</t>
        </is>
      </c>
      <c r="T10" s="12" t="inlineStr">
        <is>
          <t>Intervention de juin non réalisée</t>
        </is>
      </c>
    </row>
    <row r="11">
      <c r="A11" s="3" t="inlineStr">
        <is>
          <t>INT-2026-009</t>
        </is>
      </c>
      <c r="B11" s="4" t="inlineStr">
        <is>
          <t>20/04/2026</t>
        </is>
      </c>
      <c r="C11" s="5" t="inlineStr">
        <is>
          <t>Résidence Cathédrale, Strasbourg</t>
        </is>
      </c>
      <c r="D11" s="5" t="inlineStr">
        <is>
          <t>Interphonie / vidéophone</t>
        </is>
      </c>
      <c r="E11" s="3" t="inlineStr">
        <is>
          <t>Interphonie</t>
        </is>
      </c>
      <c r="F11" s="3" t="inlineStr">
        <is>
          <t>Interphonie Alsace SAS</t>
        </is>
      </c>
      <c r="G11" s="3" t="inlineStr">
        <is>
          <t>48234567800901</t>
        </is>
      </c>
      <c r="H11" s="5" t="inlineStr">
        <is>
          <t>Mme Weber - 03 88 55 66 77</t>
        </is>
      </c>
      <c r="I11" s="3" t="inlineStr">
        <is>
          <t>Mise en conformité</t>
        </is>
      </c>
      <c r="J11" s="5" t="inlineStr">
        <is>
          <t>Remplacement complet de l'interphonie de la résidence</t>
        </is>
      </c>
      <c r="K11" s="3" t="inlineStr">
        <is>
          <t>DV-2026-099</t>
        </is>
      </c>
      <c r="L11" s="6" t="n">
        <v>1650</v>
      </c>
      <c r="M11" s="7" t="n">
        <v>0.2</v>
      </c>
      <c r="N11" s="8">
        <f>IFERROR(L11*(1+M11),0)</f>
        <v/>
      </c>
      <c r="O11" s="9" t="inlineStr">
        <is>
          <t>Trimestrielle</t>
        </is>
      </c>
      <c r="P11" s="10" t="inlineStr">
        <is>
          <t>20/04/2026</t>
        </is>
      </c>
      <c r="Q11" s="4">
        <f>IFERROR(IF(O11="Mensuelle",EDATE(P11,1),IF(O11="Trimestrielle",EDATE(P11,3),IF(O11="Semestrielle",EDATE(P11,6),IF(O11="Annuelle",EDATE(P11,12),P11)))),P11)</f>
        <v/>
      </c>
      <c r="R11" s="3">
        <f>IFERROR(IF(Q11&lt;TODAY(),"En retard",IF(AND(B11&lt;=TODAY(),Q11&gt;TODAY()+30),"Réalisé",IF(Q11&lt;=TODAY()+30,"À valider","Prévu"))),"")</f>
        <v/>
      </c>
      <c r="S11" s="11" t="inlineStr">
        <is>
          <t>À valider</t>
        </is>
      </c>
      <c r="T11" s="3" t="inlineStr">
        <is>
          <t>Devis validé par le conseil syndical</t>
        </is>
      </c>
    </row>
  </sheetData>
  <mergeCells count="1">
    <mergeCell ref="A1:T1"/>
  </mergeCells>
  <conditionalFormatting sqref="R3:R11">
    <cfRule type="expression" priority="1" dxfId="0" stopIfTrue="1">
      <formula>R3="En retard"</formula>
    </cfRule>
    <cfRule type="expression" priority="2" dxfId="1" stopIfTrue="1">
      <formula>R3="À valider"</formula>
    </cfRule>
    <cfRule type="expression" priority="3" dxfId="2" stopIfTrue="1">
      <formula>R3="Réalisé"</formula>
    </cfRule>
  </conditionalFormatting>
  <dataValidations count="6">
    <dataValidation sqref="E3:E11" showErrorMessage="1" showInputMessage="1" allowBlank="1" type="list">
      <formula1>=Référentiels!$A$2:$A$11</formula1>
    </dataValidation>
    <dataValidation sqref="I3:I11" showErrorMessage="1" showInputMessage="1" allowBlank="1" type="list">
      <formula1>=Référentiels!$B$2:$B$5</formula1>
    </dataValidation>
    <dataValidation sqref="O3:O11" showErrorMessage="1" showInputMessage="1" allowBlank="1" type="list">
      <formula1>=Référentiels!$D$2:$D$5</formula1>
    </dataValidation>
    <dataValidation sqref="F3:F11" showErrorMessage="1" showInputMessage="1" allowBlank="1" type="list">
      <formula1>=Référentiels!$E$2:$E$10</formula1>
    </dataValidation>
    <dataValidation sqref="C3:C11" showErrorMessage="1" showInputMessage="1" allowBlank="1" type="list">
      <formula1>=Référentiels!$F$2:$F$10</formula1>
    </dataValidation>
    <dataValidation sqref="D3:D11" showErrorMessage="1" showInputMessage="1" allowBlank="1" type="list">
      <formula1>=Référentiels!$G$2:$G$12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</cols>
  <sheetData>
    <row r="1" ht="24" customHeight="1">
      <c r="A1" s="2" t="inlineStr">
        <is>
          <t>Catégorie</t>
        </is>
      </c>
      <c r="B1" s="2" t="inlineStr">
        <is>
          <t>Type d'intervention</t>
        </is>
      </c>
      <c r="C1" s="2" t="inlineStr">
        <is>
          <t>Statut</t>
        </is>
      </c>
      <c r="D1" s="2" t="inlineStr">
        <is>
          <t>Périodicité</t>
        </is>
      </c>
      <c r="E1" s="2" t="inlineStr">
        <is>
          <t>Prestataires</t>
        </is>
      </c>
      <c r="F1" s="2" t="inlineStr">
        <is>
          <t>Bâtiments / Escaliers</t>
        </is>
      </c>
      <c r="G1" s="2" t="inlineStr">
        <is>
          <t>Type d'équipement</t>
        </is>
      </c>
    </row>
    <row r="2">
      <c r="A2" s="5" t="inlineStr">
        <is>
          <t>Ascenseur</t>
        </is>
      </c>
      <c r="B2" s="5" t="inlineStr">
        <is>
          <t>Préventive</t>
        </is>
      </c>
      <c r="C2" s="5" t="inlineStr">
        <is>
          <t>Prévu</t>
        </is>
      </c>
      <c r="D2" s="5" t="inlineStr">
        <is>
          <t>Mensuelle</t>
        </is>
      </c>
      <c r="E2" s="5" t="inlineStr">
        <is>
          <t>Otis Ascenseurs SAS</t>
        </is>
      </c>
      <c r="F2" s="5" t="inlineStr">
        <is>
          <t>12 rue de la République, 69002 Lyon</t>
        </is>
      </c>
      <c r="G2" s="5" t="inlineStr">
        <is>
          <t>Ascenseur</t>
        </is>
      </c>
    </row>
    <row r="3">
      <c r="A3" s="14" t="inlineStr">
        <is>
          <t>Toiture</t>
        </is>
      </c>
      <c r="B3" s="14" t="inlineStr">
        <is>
          <t>Corrective</t>
        </is>
      </c>
      <c r="C3" s="14" t="inlineStr">
        <is>
          <t>Réalisé</t>
        </is>
      </c>
      <c r="D3" s="14" t="inlineStr">
        <is>
          <t>Trimestrielle</t>
        </is>
      </c>
      <c r="E3" s="14" t="inlineStr">
        <is>
          <t>Aeroterm Ventilation</t>
        </is>
      </c>
      <c r="F3" s="14" t="inlineStr">
        <is>
          <t>8 avenue Victor Hugo, 75116 Paris</t>
        </is>
      </c>
      <c r="G3" s="14" t="inlineStr">
        <is>
          <t>Groupe VMC</t>
        </is>
      </c>
    </row>
    <row r="4">
      <c r="A4" s="5" t="inlineStr">
        <is>
          <t>VMC</t>
        </is>
      </c>
      <c r="B4" s="5" t="inlineStr">
        <is>
          <t>Contrôle réglementaire</t>
        </is>
      </c>
      <c r="C4" s="5" t="inlineStr">
        <is>
          <t>En retard</t>
        </is>
      </c>
      <c r="D4" s="5" t="inlineStr">
        <is>
          <t>Semestrielle</t>
        </is>
      </c>
      <c r="E4" s="5" t="inlineStr">
        <is>
          <t>Sécurité Incendie Rhône SARL</t>
        </is>
      </c>
      <c r="F4" s="5" t="inlineStr">
        <is>
          <t>24 cours Gambetta, 33000 Bordeaux</t>
        </is>
      </c>
      <c r="G4" s="5" t="inlineStr">
        <is>
          <t>Chaudière gaz collective</t>
        </is>
      </c>
    </row>
    <row r="5">
      <c r="A5" s="14" t="inlineStr">
        <is>
          <t>Chaudière collective</t>
        </is>
      </c>
      <c r="B5" s="14" t="inlineStr">
        <is>
          <t>Mise en conformité</t>
        </is>
      </c>
      <c r="C5" s="14" t="inlineStr">
        <is>
          <t>À valider</t>
        </is>
      </c>
      <c r="D5" s="14" t="inlineStr">
        <is>
          <t>Annuelle</t>
        </is>
      </c>
      <c r="E5" s="14" t="inlineStr">
        <is>
          <t>Portalp Automatismes</t>
        </is>
      </c>
      <c r="F5" s="14" t="inlineStr">
        <is>
          <t>Résidence Le Prado, Marseille 6e</t>
        </is>
      </c>
      <c r="G5" s="14" t="inlineStr">
        <is>
          <t>Porte piétonne automatique</t>
        </is>
      </c>
    </row>
    <row r="6">
      <c r="A6" s="5" t="inlineStr">
        <is>
          <t>Porte automatique</t>
        </is>
      </c>
      <c r="E6" s="5" t="inlineStr">
        <is>
          <t>Couverture Toulousaine SARL</t>
        </is>
      </c>
      <c r="F6" s="5" t="inlineStr">
        <is>
          <t>Résidence Capitole, Toulouse centre</t>
        </is>
      </c>
      <c r="G6" s="5" t="inlineStr">
        <is>
          <t>Extincteurs</t>
        </is>
      </c>
    </row>
    <row r="7">
      <c r="A7" s="14" t="inlineStr">
        <is>
          <t>Sécurité incendie</t>
        </is>
      </c>
      <c r="E7" s="14" t="inlineStr">
        <is>
          <t>ChauffElec Services</t>
        </is>
      </c>
      <c r="F7" s="14" t="inlineStr">
        <is>
          <t>5 rue des Lilas, 44000 Nantes</t>
        </is>
      </c>
      <c r="G7" s="14" t="inlineStr">
        <is>
          <t>BAES / éclairage sécurité</t>
        </is>
      </c>
    </row>
    <row r="8">
      <c r="A8" s="5" t="inlineStr">
        <is>
          <t>Réseau électrique</t>
        </is>
      </c>
      <c r="E8" s="5" t="inlineStr">
        <is>
          <t>Elec Confort SARL</t>
        </is>
      </c>
      <c r="F8" s="5" t="inlineStr">
        <is>
          <t>Résidence Vauban, Lille</t>
        </is>
      </c>
      <c r="G8" s="5" t="inlineStr">
        <is>
          <t>Tableau électrique général</t>
        </is>
      </c>
    </row>
    <row r="9">
      <c r="A9" s="14" t="inlineStr">
        <is>
          <t>Plomberie</t>
        </is>
      </c>
      <c r="E9" s="14" t="inlineStr">
        <is>
          <t>Espaces Verts Azur</t>
        </is>
      </c>
      <c r="F9" s="14" t="inlineStr">
        <is>
          <t>Résidence Promenade, Nice</t>
        </is>
      </c>
      <c r="G9" s="14" t="inlineStr">
        <is>
          <t>Colonne montante</t>
        </is>
      </c>
    </row>
    <row r="10">
      <c r="A10" s="5" t="inlineStr">
        <is>
          <t>Espaces verts</t>
        </is>
      </c>
      <c r="E10" s="5" t="inlineStr">
        <is>
          <t>Interphonie Alsace SAS</t>
        </is>
      </c>
      <c r="F10" s="5" t="inlineStr">
        <is>
          <t>Résidence Cathédrale, Strasbourg</t>
        </is>
      </c>
      <c r="G10" s="5" t="inlineStr">
        <is>
          <t>Toiture terrasse</t>
        </is>
      </c>
    </row>
    <row r="11">
      <c r="A11" s="14" t="inlineStr">
        <is>
          <t>Interphonie</t>
        </is>
      </c>
      <c r="G11" s="14" t="inlineStr">
        <is>
          <t>Espaces verts</t>
        </is>
      </c>
    </row>
    <row r="12">
      <c r="G12" s="5" t="inlineStr">
        <is>
          <t>Interphone / vidéophone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26" customHeight="1">
      <c r="A1" s="1" t="inlineStr">
        <is>
          <t>TABLEAU DE BORD - CARNET D'ENTRETIEN 2026</t>
        </is>
      </c>
    </row>
    <row r="2">
      <c r="A2" s="2" t="inlineStr">
        <is>
          <t>Indicateur</t>
        </is>
      </c>
      <c r="B2" s="2" t="inlineStr">
        <is>
          <t>Valeur</t>
        </is>
      </c>
    </row>
    <row r="3">
      <c r="A3" s="5" t="inlineStr">
        <is>
          <t>Nombre total d'interventions</t>
        </is>
      </c>
      <c r="B3" s="3">
        <f>COUNTA(Carnet_Entretien!A3:A11)</f>
        <v/>
      </c>
    </row>
    <row r="4">
      <c r="A4" s="14" t="inlineStr">
        <is>
          <t>Nombre d'interventions réalisées</t>
        </is>
      </c>
      <c r="B4" s="12">
        <f>COUNTIF(Carnet_Entretien!R3:R11,"Réalisé")</f>
        <v/>
      </c>
    </row>
    <row r="5">
      <c r="A5" s="5" t="inlineStr">
        <is>
          <t>Nombre en retard</t>
        </is>
      </c>
      <c r="B5" s="3">
        <f>COUNTIF(Carnet_Entretien!R3:R11,"En retard")</f>
        <v/>
      </c>
    </row>
    <row r="6">
      <c r="A6" s="14" t="inlineStr">
        <is>
          <t>Nombre à valider</t>
        </is>
      </c>
      <c r="B6" s="12">
        <f>COUNTIF(Carnet_Entretien!R3:R11,"À valider")</f>
        <v/>
      </c>
    </row>
    <row r="7">
      <c r="A7" s="5" t="inlineStr">
        <is>
          <t>Montant total TTC</t>
        </is>
      </c>
      <c r="B7" s="8">
        <f>SUM(Carnet_Entretien!N3:N11)</f>
        <v/>
      </c>
    </row>
    <row r="8">
      <c r="A8" s="14" t="inlineStr">
        <is>
          <t>Coût moyen TTC par intervention</t>
        </is>
      </c>
      <c r="B8" s="15">
        <f>IFERROR(AVERAGE(Carnet_Entretien!N3:N11),0)</f>
        <v/>
      </c>
    </row>
    <row r="9">
      <c r="A9" s="5" t="inlineStr">
        <is>
          <t>Interventions à venir sous 30 jours</t>
        </is>
      </c>
      <c r="B9" s="3">
        <f>COUNTIFS(Carnet_Entretien!Q3:Q11,"&gt;="&amp;TODAY(),Carnet_Entretien!Q3:Q11,"&lt;="&amp;TODAY()+30)</f>
        <v/>
      </c>
    </row>
    <row r="10"/>
    <row r="11"/>
    <row r="12">
      <c r="A12" s="16" t="inlineStr">
        <is>
          <t>RÉCAPITULATIF PAR CATÉGORIE</t>
        </is>
      </c>
    </row>
    <row r="13">
      <c r="A13" s="17" t="inlineStr">
        <is>
          <t>Catégorie</t>
        </is>
      </c>
      <c r="B13" s="17" t="inlineStr">
        <is>
          <t>Nombre d'interventions</t>
        </is>
      </c>
      <c r="C13" s="17" t="inlineStr">
        <is>
          <t>Total TTC</t>
        </is>
      </c>
      <c r="D13" s="17" t="inlineStr">
        <is>
          <t>Coût moyen TTC</t>
        </is>
      </c>
      <c r="E13" s="17" t="inlineStr">
        <is>
          <t>% du total</t>
        </is>
      </c>
    </row>
    <row r="14">
      <c r="A14" s="5" t="inlineStr">
        <is>
          <t>Ascenseur</t>
        </is>
      </c>
      <c r="B14" s="3">
        <f>COUNTIF(Carnet_Entretien!E3:E11,A14)</f>
        <v/>
      </c>
      <c r="C14" s="8">
        <f>SUMIF(Carnet_Entretien!E3:E11,A14,Carnet_Entretien!N3:N11)</f>
        <v/>
      </c>
      <c r="D14" s="8">
        <f>IFERROR(C14/B14,0)</f>
        <v/>
      </c>
      <c r="E14" s="18">
        <f>IFERROR(C14/$B$5,0)</f>
        <v/>
      </c>
    </row>
    <row r="15">
      <c r="A15" s="14" t="inlineStr">
        <is>
          <t>VMC</t>
        </is>
      </c>
      <c r="B15" s="12">
        <f>COUNTIF(Carnet_Entretien!E3:E11,A15)</f>
        <v/>
      </c>
      <c r="C15" s="15">
        <f>SUMIF(Carnet_Entretien!E3:E11,A15,Carnet_Entretien!N3:N11)</f>
        <v/>
      </c>
      <c r="D15" s="15">
        <f>IFERROR(C15/B15,0)</f>
        <v/>
      </c>
      <c r="E15" s="19">
        <f>IFERROR(C15/$B$5,0)</f>
        <v/>
      </c>
    </row>
    <row r="16">
      <c r="A16" s="5" t="inlineStr">
        <is>
          <t>Sécurité incendie</t>
        </is>
      </c>
      <c r="B16" s="3">
        <f>COUNTIF(Carnet_Entretien!E3:E11,A16)</f>
        <v/>
      </c>
      <c r="C16" s="8">
        <f>SUMIF(Carnet_Entretien!E3:E11,A16,Carnet_Entretien!N3:N11)</f>
        <v/>
      </c>
      <c r="D16" s="8">
        <f>IFERROR(C16/B16,0)</f>
        <v/>
      </c>
      <c r="E16" s="18">
        <f>IFERROR(C16/$B$5,0)</f>
        <v/>
      </c>
    </row>
    <row r="17">
      <c r="A17" s="14" t="inlineStr">
        <is>
          <t>Porte automatique</t>
        </is>
      </c>
      <c r="B17" s="12">
        <f>COUNTIF(Carnet_Entretien!E3:E11,A17)</f>
        <v/>
      </c>
      <c r="C17" s="15">
        <f>SUMIF(Carnet_Entretien!E3:E11,A17,Carnet_Entretien!N3:N11)</f>
        <v/>
      </c>
      <c r="D17" s="15">
        <f>IFERROR(C17/B17,0)</f>
        <v/>
      </c>
      <c r="E17" s="19">
        <f>IFERROR(C17/$B$5,0)</f>
        <v/>
      </c>
    </row>
    <row r="18">
      <c r="A18" s="5" t="inlineStr">
        <is>
          <t>Toiture</t>
        </is>
      </c>
      <c r="B18" s="3">
        <f>COUNTIF(Carnet_Entretien!E3:E11,A18)</f>
        <v/>
      </c>
      <c r="C18" s="8">
        <f>SUMIF(Carnet_Entretien!E3:E11,A18,Carnet_Entretien!N3:N11)</f>
        <v/>
      </c>
      <c r="D18" s="8">
        <f>IFERROR(C18/B18,0)</f>
        <v/>
      </c>
      <c r="E18" s="18">
        <f>IFERROR(C18/$B$5,0)</f>
        <v/>
      </c>
    </row>
    <row r="19">
      <c r="A19" s="14" t="inlineStr">
        <is>
          <t>Chaudière collective</t>
        </is>
      </c>
      <c r="B19" s="12">
        <f>COUNTIF(Carnet_Entretien!E3:E11,A19)</f>
        <v/>
      </c>
      <c r="C19" s="15">
        <f>SUMIF(Carnet_Entretien!E3:E11,A19,Carnet_Entretien!N3:N11)</f>
        <v/>
      </c>
      <c r="D19" s="15">
        <f>IFERROR(C19/B19,0)</f>
        <v/>
      </c>
      <c r="E19" s="19">
        <f>IFERROR(C19/$B$5,0)</f>
        <v/>
      </c>
    </row>
    <row r="20">
      <c r="A20" s="5" t="inlineStr">
        <is>
          <t>Réseau électrique</t>
        </is>
      </c>
      <c r="B20" s="3">
        <f>COUNTIF(Carnet_Entretien!E3:E11,A20)</f>
        <v/>
      </c>
      <c r="C20" s="8">
        <f>SUMIF(Carnet_Entretien!E3:E11,A20,Carnet_Entretien!N3:N11)</f>
        <v/>
      </c>
      <c r="D20" s="8">
        <f>IFERROR(C20/B20,0)</f>
        <v/>
      </c>
      <c r="E20" s="18">
        <f>IFERROR(C20/$B$5,0)</f>
        <v/>
      </c>
    </row>
    <row r="21">
      <c r="A21" s="14" t="inlineStr">
        <is>
          <t>Espaces verts</t>
        </is>
      </c>
      <c r="B21" s="12">
        <f>COUNTIF(Carnet_Entretien!E3:E11,A21)</f>
        <v/>
      </c>
      <c r="C21" s="15">
        <f>SUMIF(Carnet_Entretien!E3:E11,A21,Carnet_Entretien!N3:N11)</f>
        <v/>
      </c>
      <c r="D21" s="15">
        <f>IFERROR(C21/B21,0)</f>
        <v/>
      </c>
      <c r="E21" s="19">
        <f>IFERROR(C21/$B$5,0)</f>
        <v/>
      </c>
    </row>
    <row r="22">
      <c r="A22" s="5" t="inlineStr">
        <is>
          <t>Interphonie</t>
        </is>
      </c>
      <c r="B22" s="3">
        <f>COUNTIF(Carnet_Entretien!E3:E11,A22)</f>
        <v/>
      </c>
      <c r="C22" s="8">
        <f>SUMIF(Carnet_Entretien!E3:E11,A22,Carnet_Entretien!N3:N11)</f>
        <v/>
      </c>
      <c r="D22" s="8">
        <f>IFERROR(C22/B22,0)</f>
        <v/>
      </c>
      <c r="E22" s="18">
        <f>IFERROR(C22/$B$5,0)</f>
        <v/>
      </c>
    </row>
    <row r="23"/>
    <row r="24"/>
    <row r="25">
      <c r="A25" s="16" t="inlineStr">
        <is>
          <t>TOP 5 DES POSTES LES PLUS COÛTEUX</t>
        </is>
      </c>
    </row>
    <row r="26">
      <c r="A26" s="17" t="inlineStr">
        <is>
          <t>Rang</t>
        </is>
      </c>
      <c r="B26" s="17" t="inlineStr">
        <is>
          <t>Équipement / Poste</t>
        </is>
      </c>
      <c r="C26" s="17" t="inlineStr">
        <is>
          <t>Montant TTC</t>
        </is>
      </c>
    </row>
    <row r="27">
      <c r="A27" s="12" t="n">
        <v>1</v>
      </c>
      <c r="B27" s="14">
        <f>IFERROR(INDEX(Carnet_Entretien!$D$3:$D$11,MATCH(LARGE(Carnet_Entretien!$N$3:$N$11,1),Carnet_Entretien!$N$3:$N$11,0)),"")</f>
        <v/>
      </c>
      <c r="C27" s="15">
        <f>IFERROR(LARGE(Carnet_Entretien!$N$3:$N$11,1),0)</f>
        <v/>
      </c>
    </row>
    <row r="28">
      <c r="A28" s="3" t="n">
        <v>2</v>
      </c>
      <c r="B28" s="5">
        <f>IFERROR(INDEX(Carnet_Entretien!$D$3:$D$11,MATCH(LARGE(Carnet_Entretien!$N$3:$N$11,2),Carnet_Entretien!$N$3:$N$11,0)),"")</f>
        <v/>
      </c>
      <c r="C28" s="8">
        <f>IFERROR(LARGE(Carnet_Entretien!$N$3:$N$11,2),0)</f>
        <v/>
      </c>
    </row>
    <row r="29">
      <c r="A29" s="12" t="n">
        <v>3</v>
      </c>
      <c r="B29" s="14">
        <f>IFERROR(INDEX(Carnet_Entretien!$D$3:$D$11,MATCH(LARGE(Carnet_Entretien!$N$3:$N$11,3),Carnet_Entretien!$N$3:$N$11,0)),"")</f>
        <v/>
      </c>
      <c r="C29" s="15">
        <f>IFERROR(LARGE(Carnet_Entretien!$N$3:$N$11,3),0)</f>
        <v/>
      </c>
    </row>
    <row r="30">
      <c r="A30" s="3" t="n">
        <v>4</v>
      </c>
      <c r="B30" s="5">
        <f>IFERROR(INDEX(Carnet_Entretien!$D$3:$D$11,MATCH(LARGE(Carnet_Entretien!$N$3:$N$11,4),Carnet_Entretien!$N$3:$N$11,0)),"")</f>
        <v/>
      </c>
      <c r="C30" s="8">
        <f>IFERROR(LARGE(Carnet_Entretien!$N$3:$N$11,4),0)</f>
        <v/>
      </c>
    </row>
    <row r="31">
      <c r="A31" s="12" t="n">
        <v>5</v>
      </c>
      <c r="B31" s="14">
        <f>IFERROR(INDEX(Carnet_Entretien!$D$3:$D$11,MATCH(LARGE(Carnet_Entretien!$N$3:$N$11,5),Carnet_Entretien!$N$3:$N$11,0)),"")</f>
        <v/>
      </c>
      <c r="C31" s="15">
        <f>IFERROR(LARGE(Carnet_Entretien!$N$3:$N$11,5),0)</f>
        <v/>
      </c>
    </row>
    <row r="32"/>
    <row r="33"/>
    <row r="34">
      <c r="A34" s="16" t="inlineStr">
        <is>
          <t>RÉPARTITION PAR STATUT</t>
        </is>
      </c>
    </row>
    <row r="35">
      <c r="A35" s="17" t="inlineStr">
        <is>
          <t>Statut</t>
        </is>
      </c>
      <c r="B35" s="17" t="inlineStr">
        <is>
          <t>Nombre</t>
        </is>
      </c>
    </row>
    <row r="36">
      <c r="A36" s="5" t="inlineStr">
        <is>
          <t>Prévu</t>
        </is>
      </c>
      <c r="B36" s="3">
        <f>COUNTIF(Carnet_Entretien!R3:R11,A36)</f>
        <v/>
      </c>
    </row>
    <row r="37">
      <c r="A37" s="14" t="inlineStr">
        <is>
          <t>Réalisé</t>
        </is>
      </c>
      <c r="B37" s="12">
        <f>COUNTIF(Carnet_Entretien!R3:R11,A37)</f>
        <v/>
      </c>
    </row>
    <row r="38">
      <c r="A38" s="5" t="inlineStr">
        <is>
          <t>En retard</t>
        </is>
      </c>
      <c r="B38" s="3">
        <f>COUNTIF(Carnet_Entretien!R3:R11,A38)</f>
        <v/>
      </c>
    </row>
    <row r="39">
      <c r="A39" s="14" t="inlineStr">
        <is>
          <t>À valider</t>
        </is>
      </c>
      <c r="B39" s="12">
        <f>COUNTIF(Carnet_Entretien!R3:R11,A39)</f>
        <v/>
      </c>
    </row>
    <row r="40"/>
    <row r="41"/>
    <row r="42">
      <c r="A42" s="16" t="inlineStr">
        <is>
          <t>ÉVOLUTION MENSUELLE 2026</t>
        </is>
      </c>
    </row>
    <row r="43">
      <c r="A43" s="17" t="inlineStr">
        <is>
          <t>Mois</t>
        </is>
      </c>
      <c r="B43" s="17" t="inlineStr">
        <is>
          <t>Nombre d'interventions</t>
        </is>
      </c>
      <c r="C43" s="17" t="inlineStr">
        <is>
          <t>Dépenses TTC</t>
        </is>
      </c>
    </row>
    <row r="44">
      <c r="A44" s="14" t="inlineStr">
        <is>
          <t>Janvier</t>
        </is>
      </c>
      <c r="B44" s="12">
        <f>IFERROR(SUMPRODUCT((MONTH(Carnet_Entretien!$B$3:$B$11)=1)*1),0)</f>
        <v/>
      </c>
      <c r="C44" s="15">
        <f>IFERROR(SUMPRODUCT((MONTH(Carnet_Entretien!$B$3:$B$11)=1)*(Carnet_Entretien!$N$3:$N$11)),0)</f>
        <v/>
      </c>
    </row>
    <row r="45">
      <c r="A45" s="5" t="inlineStr">
        <is>
          <t>Février</t>
        </is>
      </c>
      <c r="B45" s="3">
        <f>IFERROR(SUMPRODUCT((MONTH(Carnet_Entretien!$B$3:$B$11)=2)*1),0)</f>
        <v/>
      </c>
      <c r="C45" s="8">
        <f>IFERROR(SUMPRODUCT((MONTH(Carnet_Entretien!$B$3:$B$11)=2)*(Carnet_Entretien!$N$3:$N$11)),0)</f>
        <v/>
      </c>
    </row>
    <row r="46">
      <c r="A46" s="14" t="inlineStr">
        <is>
          <t>Mars</t>
        </is>
      </c>
      <c r="B46" s="12">
        <f>IFERROR(SUMPRODUCT((MONTH(Carnet_Entretien!$B$3:$B$11)=3)*1),0)</f>
        <v/>
      </c>
      <c r="C46" s="15">
        <f>IFERROR(SUMPRODUCT((MONTH(Carnet_Entretien!$B$3:$B$11)=3)*(Carnet_Entretien!$N$3:$N$11)),0)</f>
        <v/>
      </c>
    </row>
    <row r="47">
      <c r="A47" s="5" t="inlineStr">
        <is>
          <t>Avril</t>
        </is>
      </c>
      <c r="B47" s="3">
        <f>IFERROR(SUMPRODUCT((MONTH(Carnet_Entretien!$B$3:$B$11)=4)*1),0)</f>
        <v/>
      </c>
      <c r="C47" s="8">
        <f>IFERROR(SUMPRODUCT((MONTH(Carnet_Entretien!$B$3:$B$11)=4)*(Carnet_Entretien!$N$3:$N$11)),0)</f>
        <v/>
      </c>
    </row>
    <row r="48">
      <c r="A48" s="14" t="inlineStr">
        <is>
          <t>Mai</t>
        </is>
      </c>
      <c r="B48" s="12">
        <f>IFERROR(SUMPRODUCT((MONTH(Carnet_Entretien!$B$3:$B$11)=5)*1),0)</f>
        <v/>
      </c>
      <c r="C48" s="15">
        <f>IFERROR(SUMPRODUCT((MONTH(Carnet_Entretien!$B$3:$B$11)=5)*(Carnet_Entretien!$N$3:$N$11)),0)</f>
        <v/>
      </c>
    </row>
    <row r="49">
      <c r="A49" s="5" t="inlineStr">
        <is>
          <t>Juin</t>
        </is>
      </c>
      <c r="B49" s="3">
        <f>IFERROR(SUMPRODUCT((MONTH(Carnet_Entretien!$B$3:$B$11)=6)*1),0)</f>
        <v/>
      </c>
      <c r="C49" s="8">
        <f>IFERROR(SUMPRODUCT((MONTH(Carnet_Entretien!$B$3:$B$11)=6)*(Carnet_Entretien!$N$3:$N$11)),0)</f>
        <v/>
      </c>
    </row>
    <row r="50">
      <c r="A50" s="14" t="inlineStr">
        <is>
          <t>Juillet</t>
        </is>
      </c>
      <c r="B50" s="12">
        <f>IFERROR(SUMPRODUCT((MONTH(Carnet_Entretien!$B$3:$B$11)=7)*1),0)</f>
        <v/>
      </c>
      <c r="C50" s="15">
        <f>IFERROR(SUMPRODUCT((MONTH(Carnet_Entretien!$B$3:$B$11)=7)*(Carnet_Entretien!$N$3:$N$11)),0)</f>
        <v/>
      </c>
    </row>
    <row r="51">
      <c r="A51" s="5" t="inlineStr">
        <is>
          <t>Août</t>
        </is>
      </c>
      <c r="B51" s="3">
        <f>IFERROR(SUMPRODUCT((MONTH(Carnet_Entretien!$B$3:$B$11)=8)*1),0)</f>
        <v/>
      </c>
      <c r="C51" s="8">
        <f>IFERROR(SUMPRODUCT((MONTH(Carnet_Entretien!$B$3:$B$11)=8)*(Carnet_Entretien!$N$3:$N$11)),0)</f>
        <v/>
      </c>
    </row>
    <row r="52">
      <c r="A52" s="14" t="inlineStr">
        <is>
          <t>Septembre</t>
        </is>
      </c>
      <c r="B52" s="12">
        <f>IFERROR(SUMPRODUCT((MONTH(Carnet_Entretien!$B$3:$B$11)=9)*1),0)</f>
        <v/>
      </c>
      <c r="C52" s="15">
        <f>IFERROR(SUMPRODUCT((MONTH(Carnet_Entretien!$B$3:$B$11)=9)*(Carnet_Entretien!$N$3:$N$11)),0)</f>
        <v/>
      </c>
    </row>
    <row r="53">
      <c r="A53" s="5" t="inlineStr">
        <is>
          <t>Octobre</t>
        </is>
      </c>
      <c r="B53" s="3">
        <f>IFERROR(SUMPRODUCT((MONTH(Carnet_Entretien!$B$3:$B$11)=10)*1),0)</f>
        <v/>
      </c>
      <c r="C53" s="8">
        <f>IFERROR(SUMPRODUCT((MONTH(Carnet_Entretien!$B$3:$B$11)=10)*(Carnet_Entretien!$N$3:$N$11)),0)</f>
        <v/>
      </c>
    </row>
    <row r="54">
      <c r="A54" s="14" t="inlineStr">
        <is>
          <t>Novembre</t>
        </is>
      </c>
      <c r="B54" s="12">
        <f>IFERROR(SUMPRODUCT((MONTH(Carnet_Entretien!$B$3:$B$11)=11)*1),0)</f>
        <v/>
      </c>
      <c r="C54" s="15">
        <f>IFERROR(SUMPRODUCT((MONTH(Carnet_Entretien!$B$3:$B$11)=11)*(Carnet_Entretien!$N$3:$N$11)),0)</f>
        <v/>
      </c>
    </row>
    <row r="55">
      <c r="A55" s="5" t="inlineStr">
        <is>
          <t>Décembre</t>
        </is>
      </c>
      <c r="B55" s="3">
        <f>IFERROR(SUMPRODUCT((MONTH(Carnet_Entretien!$B$3:$B$11)=12)*1),0)</f>
        <v/>
      </c>
      <c r="C55" s="8">
        <f>IFERROR(SUMPRODUCT((MONTH(Carnet_Entretien!$B$3:$B$11)=12)*(Carnet_Entretien!$N$3:$N$11)),0)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1" ht="26" customHeight="1">
      <c r="A1" s="1" t="inlineStr">
        <is>
          <t>MODE D'EMPLOI - CARNET D'ENTRETIEN DE L'IMMEUBLE</t>
        </is>
      </c>
    </row>
    <row r="2">
      <c r="A2" s="20" t="inlineStr">
        <is>
          <t>1. Objectif</t>
        </is>
      </c>
    </row>
    <row r="3" ht="30" customHeight="1">
      <c r="B3" s="21" t="inlineStr">
        <is>
          <t>Ce classeur permet au syndic et au conseil syndical de suivre l'ensemble des contrôles, entretiens préventifs et interventions correctives réalisés dans l'immeuble.</t>
        </is>
      </c>
    </row>
    <row r="4">
      <c r="A4" s="20" t="inlineStr">
        <is>
          <t>2. Saisir une intervention</t>
        </is>
      </c>
    </row>
    <row r="5" ht="30" customHeight="1">
      <c r="B5" s="21" t="inlineStr">
        <is>
          <t>Dans l'onglet Carnet_Entretien, ajouter une ligne : renseigner la date, le bâtiment/escalier, l'équipement, la catégorie, le prestataire et son SIRET, le type d'intervention, la description, la référence du contrat ou devis, le montant HT et le taux de TVA.</t>
        </is>
      </c>
    </row>
    <row r="6" ht="30" customHeight="1">
      <c r="B6" s="21" t="inlineStr">
        <is>
          <t>Les colonnes en jaune pâle sont à saisie manuelle. Les colonnes Montant TTC, Date prochaine échéance et Statut se calculent automatiquement.</t>
        </is>
      </c>
    </row>
    <row r="7">
      <c r="A7" s="20" t="inlineStr">
        <is>
          <t>3. Logique des statuts</t>
        </is>
      </c>
    </row>
    <row r="8" ht="30" customHeight="1">
      <c r="B8" s="21" t="inlineStr">
        <is>
          <t>Le Statut est calculé à partir de la date prochaine échéance et de la date d'intervention :</t>
        </is>
      </c>
    </row>
    <row r="9" ht="30" customHeight="1">
      <c r="B9" s="21" t="inlineStr">
        <is>
          <t>- En retard : l'échéance est dépassée.</t>
        </is>
      </c>
    </row>
    <row r="10" ht="30" customHeight="1">
      <c r="B10" s="21" t="inlineStr">
        <is>
          <t>- À valider : l'échéance intervient dans les 30 prochains jours.</t>
        </is>
      </c>
    </row>
    <row r="11" ht="30" customHeight="1">
      <c r="B11" s="21" t="inlineStr">
        <is>
          <t>- Réalisé : l'intervention a déjà eu lieu et la prochaine échéance est encore lointaine.</t>
        </is>
      </c>
    </row>
    <row r="12" ht="30" customHeight="1">
      <c r="B12" s="21" t="inlineStr">
        <is>
          <t>- Prévu : l'intervention est planifiée mais n'a pas encore été réalisée.</t>
        </is>
      </c>
    </row>
    <row r="13">
      <c r="A13" s="20" t="inlineStr">
        <is>
          <t>4. Rappel des échéances</t>
        </is>
      </c>
    </row>
    <row r="14" ht="30" customHeight="1">
      <c r="B14" s="21" t="inlineStr">
        <is>
          <t>La périodicité (Mensuelle, Trimestrielle, Semestrielle, Annuelle) détermine automatiquement la date prochaine échéance à partir de la date dernière intervention (fonction EDATE).</t>
        </is>
      </c>
    </row>
    <row r="15" ht="30" customHeight="1">
      <c r="B15" s="21" t="inlineStr">
        <is>
          <t>Consulter régulièrement le Tableau_de_bord pour repérer les interventions en retard et celles à venir sous 30 jours.</t>
        </is>
      </c>
    </row>
    <row r="16">
      <c r="A16" s="20" t="inlineStr">
        <is>
          <t>5. Contrôles réglementaires usuels en copropriété</t>
        </is>
      </c>
    </row>
    <row r="17" ht="30" customHeight="1">
      <c r="B17" s="21" t="inlineStr">
        <is>
          <t>- Ascenseur : contrôle technique tous les 5 ans + entretien contractuel annuel/mensuel.</t>
        </is>
      </c>
    </row>
    <row r="18" ht="30" customHeight="1">
      <c r="B18" s="21" t="inlineStr">
        <is>
          <t>- Extincteurs et sécurité incendie : vérification annuelle par un organisme agréé.</t>
        </is>
      </c>
    </row>
    <row r="19" ht="30" customHeight="1">
      <c r="B19" s="21" t="inlineStr">
        <is>
          <t>- VMC : entretien annuel des groupes et nettoyage des bouches d'extraction.</t>
        </is>
      </c>
    </row>
    <row r="20" ht="30" customHeight="1">
      <c r="B20" s="21" t="inlineStr">
        <is>
          <t>- Chaudière collective : entretien annuel obligatoire (arrêté du 15/09/2009).</t>
        </is>
      </c>
    </row>
    <row r="21" ht="30" customHeight="1">
      <c r="B21" s="21" t="inlineStr">
        <is>
          <t>- Désenfumage : contrôle semestriel des exutoires et volets.</t>
        </is>
      </c>
    </row>
    <row r="22" ht="30" customHeight="1">
      <c r="B22" s="21" t="inlineStr">
        <is>
          <t>- Réseau électrique des parties communes : vérification périodique par un bureau de contrôle.</t>
        </is>
      </c>
    </row>
    <row r="23" ht="30" customHeight="1">
      <c r="B23" s="21" t="inlineStr">
        <is>
          <t>- Toiture et évacuations d'eaux pluviales : inspection annuelle recommandée.</t>
        </is>
      </c>
    </row>
    <row r="24" ht="30" customHeight="1">
      <c r="B24" s="21" t="inlineStr">
        <is>
          <t>- Portes automatiques : maintenance semestrielle selon la norme NF EN 12453.</t>
        </is>
      </c>
    </row>
    <row r="25">
      <c r="A25" s="20" t="inlineStr">
        <is>
          <t>6. Onglet Référentiels</t>
        </is>
      </c>
    </row>
    <row r="26" ht="30" customHeight="1">
      <c r="B26" s="21" t="inlineStr">
        <is>
          <t>Contient les listes utilisées pour les menus déroulants (catégorie, type d'intervention, statut, périodicité, prestataires, bâtiments, types d'équipement). Modifier ces listes met à jour automatiquement les menus déroulants du Carnet_Entretien.</t>
        </is>
      </c>
    </row>
  </sheetData>
  <mergeCells count="7">
    <mergeCell ref="A1:D1"/>
    <mergeCell ref="A2:B2"/>
    <mergeCell ref="A4:B4"/>
    <mergeCell ref="A7:B7"/>
    <mergeCell ref="A13:B13"/>
    <mergeCell ref="A16:B16"/>
    <mergeCell ref="A25:B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2026-07-13T18:24:33Z</dcterms:created>
  <dcterms:modified xmlns:dcterms="http://purl.org/dc/terms/" xmlns:xsi="http://www.w3.org/2001/XMLSchema-instance" xsi:type="dcterms:W3CDTF">2026-07-13T18:24:33Z</dcterms:modified>
</cp:coreProperties>
</file>