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mparateur" sheetId="1" state="visible" r:id="rId1"/>
    <sheet xmlns:r="http://schemas.openxmlformats.org/officeDocument/2006/relationships" name="Synthèse"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4">
    <numFmt numFmtId="164" formatCode="# ##0,00 €"/>
    <numFmt numFmtId="165" formatCode="0,00 %"/>
    <numFmt numFmtId="166" formatCode="yyyy-mm-dd"/>
    <numFmt numFmtId="167" formatCode="DD/MM/AAAA"/>
  </numFmts>
  <fonts count="9">
    <font>
      <name val="Calibri"/>
      <family val="2"/>
      <color theme="1"/>
      <sz val="11"/>
      <scheme val="minor"/>
    </font>
    <font>
      <b val="1"/>
      <color rgb="00FFFFFF"/>
      <sz val="14"/>
    </font>
    <font>
      <b val="1"/>
    </font>
    <font>
      <i val="1"/>
      <color rgb="0064748B"/>
      <sz val="10"/>
    </font>
    <font>
      <b val="1"/>
      <color rgb="00FFFFFF"/>
      <sz val="11"/>
    </font>
    <font>
      <b val="1"/>
      <color rgb="0016A34A"/>
    </font>
    <font>
      <b val="1"/>
      <color rgb="00FFFFFF"/>
      <sz val="10"/>
    </font>
    <font>
      <b val="1"/>
      <color rgb="000E7490"/>
      <sz val="11"/>
    </font>
    <font>
      <b val="1"/>
      <color rgb="00DC2626"/>
    </font>
  </fonts>
  <fills count="8">
    <fill>
      <patternFill/>
    </fill>
    <fill>
      <patternFill patternType="gray125"/>
    </fill>
    <fill>
      <patternFill patternType="solid">
        <fgColor rgb="001E293B"/>
      </patternFill>
    </fill>
    <fill>
      <patternFill patternType="solid">
        <fgColor rgb="00FFFBEB"/>
      </patternFill>
    </fill>
    <fill>
      <patternFill patternType="solid">
        <fgColor rgb="00F8FAFC"/>
      </patternFill>
    </fill>
    <fill>
      <patternFill patternType="solid">
        <fgColor rgb="00DCFCE7"/>
      </patternFill>
    </fill>
    <fill>
      <patternFill patternType="solid">
        <fgColor rgb="000E7490"/>
      </patternFill>
    </fill>
    <fill>
      <patternFill patternType="solid">
        <fgColor rgb="00FFFFFF"/>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7">
    <xf numFmtId="0" fontId="0" fillId="0" borderId="0" pivotButton="0" quotePrefix="0" xfId="0"/>
    <xf numFmtId="0" fontId="1" fillId="2" borderId="0" applyAlignment="1" pivotButton="0" quotePrefix="0" xfId="0">
      <alignment horizontal="center" vertical="center" wrapText="1"/>
    </xf>
    <xf numFmtId="0" fontId="2" fillId="0" borderId="0" pivotButton="0" quotePrefix="0" xfId="0"/>
    <xf numFmtId="164" fontId="0" fillId="3" borderId="1" applyAlignment="1" pivotButton="0" quotePrefix="0" xfId="0">
      <alignment horizontal="right" vertical="center"/>
    </xf>
    <xf numFmtId="1" fontId="0" fillId="3" borderId="1" applyAlignment="1" pivotButton="0" quotePrefix="0" xfId="0">
      <alignment horizontal="right" vertical="center"/>
    </xf>
    <xf numFmtId="165" fontId="0" fillId="3" borderId="1" applyAlignment="1" pivotButton="0" quotePrefix="0" xfId="0">
      <alignment horizontal="right" vertical="center"/>
    </xf>
    <xf numFmtId="167" fontId="0" fillId="3" borderId="1" applyAlignment="1" pivotButton="0" quotePrefix="0" xfId="0">
      <alignment horizontal="right" vertical="center"/>
    </xf>
    <xf numFmtId="0" fontId="3" fillId="0" borderId="0" pivotButton="0" quotePrefix="0" xfId="0"/>
    <xf numFmtId="0" fontId="4" fillId="2" borderId="1" applyAlignment="1" pivotButton="0" quotePrefix="0" xfId="0">
      <alignment horizontal="center" vertical="center" wrapText="1"/>
    </xf>
    <xf numFmtId="1" fontId="0" fillId="4" borderId="1" applyAlignment="1" pivotButton="0" quotePrefix="0" xfId="0">
      <alignment horizontal="right" vertical="center"/>
    </xf>
    <xf numFmtId="0" fontId="0" fillId="4" borderId="1" applyAlignment="1" pivotButton="0" quotePrefix="0" xfId="0">
      <alignment horizontal="left" vertical="center" wrapText="1"/>
    </xf>
    <xf numFmtId="0" fontId="0" fillId="4" borderId="1" applyAlignment="1" pivotButton="0" quotePrefix="0" xfId="0">
      <alignment horizontal="center" vertical="center" wrapText="1"/>
    </xf>
    <xf numFmtId="164" fontId="0" fillId="4" borderId="1" applyAlignment="1" pivotButton="0" quotePrefix="0" xfId="0">
      <alignment horizontal="right" vertical="center"/>
    </xf>
    <xf numFmtId="165" fontId="0" fillId="4" borderId="1" applyAlignment="1" pivotButton="0" quotePrefix="0" xfId="0">
      <alignment horizontal="right" vertical="center"/>
    </xf>
    <xf numFmtId="0" fontId="0" fillId="3" borderId="1" applyAlignment="1" pivotButton="0" quotePrefix="0" xfId="0">
      <alignment horizontal="left" vertical="center" wrapText="1"/>
    </xf>
    <xf numFmtId="1" fontId="0" fillId="0" borderId="1" applyAlignment="1" pivotButton="0" quotePrefix="0" xfId="0">
      <alignment horizontal="right" vertical="center"/>
    </xf>
    <xf numFmtId="0" fontId="0" fillId="0" borderId="1" applyAlignment="1" pivotButton="0" quotePrefix="0" xfId="0">
      <alignment horizontal="left" vertical="center" wrapText="1"/>
    </xf>
    <xf numFmtId="0" fontId="0" fillId="0" borderId="1" applyAlignment="1" pivotButton="0" quotePrefix="0" xfId="0">
      <alignment horizontal="center" vertical="center" wrapText="1"/>
    </xf>
    <xf numFmtId="164" fontId="0" fillId="0" borderId="1" applyAlignment="1" pivotButton="0" quotePrefix="0" xfId="0">
      <alignment horizontal="right" vertical="center"/>
    </xf>
    <xf numFmtId="165" fontId="0" fillId="0" borderId="1" applyAlignment="1" pivotButton="0" quotePrefix="0" xfId="0">
      <alignment horizontal="right" vertical="center"/>
    </xf>
    <xf numFmtId="0" fontId="5" fillId="5" borderId="1" applyAlignment="1" pivotButton="0" quotePrefix="0" xfId="0">
      <alignment horizontal="right" vertical="center"/>
    </xf>
    <xf numFmtId="164" fontId="5" fillId="5" borderId="1" applyAlignment="1" pivotButton="0" quotePrefix="0" xfId="0">
      <alignment horizontal="right" vertical="center"/>
    </xf>
    <xf numFmtId="1" fontId="5" fillId="5" borderId="1" applyAlignment="1" pivotButton="0" quotePrefix="0" xfId="0">
      <alignment horizontal="right" vertical="center"/>
    </xf>
    <xf numFmtId="0" fontId="6" fillId="6" borderId="1" pivotButton="0" quotePrefix="0" xfId="0"/>
    <xf numFmtId="0" fontId="7" fillId="0" borderId="1" applyAlignment="1" pivotButton="0" quotePrefix="0" xfId="0">
      <alignment horizontal="right" vertical="center"/>
    </xf>
    <xf numFmtId="0" fontId="2" fillId="4" borderId="1" pivotButton="0" quotePrefix="0" xfId="0"/>
    <xf numFmtId="164" fontId="7" fillId="0" borderId="1" applyAlignment="1" pivotButton="0" quotePrefix="0" xfId="0">
      <alignment horizontal="right" vertical="center"/>
    </xf>
    <xf numFmtId="0" fontId="2" fillId="7" borderId="1" pivotButton="0" quotePrefix="0" xfId="0"/>
    <xf numFmtId="165" fontId="7" fillId="0" borderId="1" applyAlignment="1" pivotButton="0" quotePrefix="0" xfId="0">
      <alignment horizontal="right" vertical="center"/>
    </xf>
    <xf numFmtId="1" fontId="7" fillId="0" borderId="1" applyAlignment="1" pivotButton="0" quotePrefix="0" xfId="0">
      <alignment horizontal="right" vertical="center"/>
    </xf>
    <xf numFmtId="0" fontId="8" fillId="0" borderId="0" pivotButton="0" quotePrefix="0" xfId="0"/>
    <xf numFmtId="0" fontId="6" fillId="6" borderId="0" pivotButton="0" quotePrefix="0" xfId="0"/>
    <xf numFmtId="0" fontId="0" fillId="0" borderId="1" pivotButton="0" quotePrefix="0" xfId="0"/>
    <xf numFmtId="0" fontId="6" fillId="6" borderId="1" applyAlignment="1" pivotButton="0" quotePrefix="0" xfId="0">
      <alignment horizontal="left" vertical="center" wrapText="1"/>
    </xf>
    <xf numFmtId="0" fontId="0" fillId="0" borderId="4" pivotButton="0" quotePrefix="0" xfId="0"/>
    <xf numFmtId="0" fontId="0" fillId="0" borderId="5" pivotButton="0" quotePrefix="0" xfId="0"/>
    <xf numFmtId="0" fontId="0" fillId="0" borderId="1" applyAlignment="1" pivotButton="0" quotePrefix="0" xfId="0">
      <alignment horizontal="left" vertical="top" wrapText="1"/>
    </xf>
  </cellXfs>
  <cellStyles count="1">
    <cellStyle name="Normal" xfId="0" builtinId="0" hidden="0"/>
  </cellStyles>
  <dxfs count="3">
    <dxf>
      <fill>
        <patternFill patternType="solid">
          <fgColor rgb="00BBF7D0"/>
        </patternFill>
      </fill>
    </dxf>
    <dxf>
      <font>
        <b val="1"/>
        <color rgb="00DC2626"/>
      </font>
    </dxf>
    <dxf>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Coût total du crédit avec frais par banque</a:t>
            </a:r>
          </a:p>
        </rich>
      </tx>
    </title>
    <plotArea>
      <barChart>
        <barDir val="bar"/>
        <grouping val="clustered"/>
        <ser>
          <idx val="0"/>
          <order val="0"/>
          <tx>
            <strRef>
              <f>'Synthèse'!B16</f>
            </strRef>
          </tx>
          <spPr>
            <a:ln xmlns:a="http://schemas.openxmlformats.org/drawingml/2006/main">
              <a:prstDash val="solid"/>
            </a:ln>
          </spPr>
          <cat>
            <numRef>
              <f>'Synthèse'!$A$17:$A$25</f>
            </numRef>
          </cat>
          <val>
            <numRef>
              <f>'Synthèse'!$B$17:$B$25</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Coût total (€)</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Banque</a:t>
                </a:r>
              </a:p>
            </rich>
          </tx>
        </title>
        <majorTickMark val="none"/>
        <minorTickMark val="none"/>
        <crossAx val="10"/>
      </valAx>
    </plotArea>
    <plotVisOnly val="1"/>
    <dispBlanksAs val="gap"/>
  </chart>
</chartSpace>
</file>

<file path=xl/charts/chart2.xml><?xml version="1.0" encoding="utf-8"?>
<chartSpace xmlns="http://schemas.openxmlformats.org/drawingml/2006/chart">
  <style val="11"/>
  <chart>
    <title>
      <tx>
        <rich>
          <a:bodyPr xmlns:a="http://schemas.openxmlformats.org/drawingml/2006/main"/>
          <a:p xmlns:a="http://schemas.openxmlformats.org/drawingml/2006/main">
            <a:pPr>
              <a:defRPr/>
            </a:pPr>
            <a:r>
              <a:t>Mensualités hors assurance et assurance incluse</a:t>
            </a:r>
          </a:p>
        </rich>
      </tx>
    </title>
    <plotArea>
      <barChart>
        <barDir val="col"/>
        <grouping val="clustered"/>
        <ser>
          <idx val="0"/>
          <order val="0"/>
          <tx>
            <strRef>
              <f>'Synthèse'!C16</f>
            </strRef>
          </tx>
          <spPr>
            <a:ln xmlns:a="http://schemas.openxmlformats.org/drawingml/2006/main">
              <a:prstDash val="solid"/>
            </a:ln>
          </spPr>
          <cat>
            <numRef>
              <f>'Synthèse'!$A$17:$A$25</f>
            </numRef>
          </cat>
          <val>
            <numRef>
              <f>'Synthèse'!$C$17:$C$25</f>
            </numRef>
          </val>
        </ser>
        <ser>
          <idx val="1"/>
          <order val="1"/>
          <tx>
            <strRef>
              <f>'Synthèse'!D16</f>
            </strRef>
          </tx>
          <spPr>
            <a:ln xmlns:a="http://schemas.openxmlformats.org/drawingml/2006/main">
              <a:prstDash val="solid"/>
            </a:ln>
          </spPr>
          <cat>
            <numRef>
              <f>'Synthèse'!$A$17:$A$25</f>
            </numRef>
          </cat>
          <val>
            <numRef>
              <f>'Synthèse'!$D$17:$D$25</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Banque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Mensualité (€)</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5</col>
      <colOff>0</colOff>
      <row>15</row>
      <rowOff>0</rowOff>
    </from>
    <ext cx="720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37</row>
      <rowOff>0</rowOff>
    </from>
    <ext cx="720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W28"/>
  <sheetViews>
    <sheetView workbookViewId="0">
      <pane xSplit="2" ySplit="14" topLeftCell="C15" activePane="bottomRight" state="frozen"/>
      <selection pane="topRight"/>
      <selection pane="bottomLeft"/>
      <selection pane="bottomRight" activeCell="A1" sqref="A1"/>
    </sheetView>
  </sheetViews>
  <sheetFormatPr baseColWidth="8" defaultRowHeight="15"/>
  <cols>
    <col width="6" customWidth="1" min="1" max="1"/>
    <col width="30" customWidth="1" min="2" max="2"/>
    <col width="30" customWidth="1" min="3" max="3"/>
    <col width="12" customWidth="1" min="4" max="4"/>
    <col width="18" customWidth="1" min="5" max="5"/>
    <col width="12" customWidth="1" min="6" max="6"/>
    <col width="12" customWidth="1" min="7" max="7"/>
    <col width="12" customWidth="1" min="8" max="8"/>
    <col width="12" customWidth="1" min="9" max="9"/>
    <col width="15" customWidth="1" min="10" max="10"/>
    <col width="14" customWidth="1" min="11" max="11"/>
    <col width="14" customWidth="1" min="12" max="12"/>
    <col width="17" customWidth="1" min="13" max="13"/>
    <col width="18" customWidth="1" min="14" max="14"/>
    <col width="16" customWidth="1" min="15" max="15"/>
    <col width="16" customWidth="1" min="16" max="16"/>
    <col width="17" customWidth="1" min="17" max="17"/>
    <col width="18" customWidth="1" min="18" max="18"/>
    <col width="13" customWidth="1" min="19" max="19"/>
    <col width="14" customWidth="1" min="20" max="20"/>
    <col width="14" customWidth="1" min="21" max="21"/>
    <col width="34" customWidth="1" min="22" max="22"/>
  </cols>
  <sheetData>
    <row r="1" ht="30" customHeight="1">
      <c r="A1" s="1" t="inlineStr">
        <is>
          <t>Comparateur d'offres de prêt immobilier — France</t>
        </is>
      </c>
    </row>
    <row r="3">
      <c r="A3" s="2" t="inlineStr">
        <is>
          <t>Prix du bien (€)</t>
        </is>
      </c>
      <c r="B3" s="3" t="n">
        <v>320000</v>
      </c>
    </row>
    <row r="4">
      <c r="A4" s="2" t="inlineStr">
        <is>
          <t>Apport personnel (€)</t>
        </is>
      </c>
      <c r="B4" s="3" t="n">
        <v>60000</v>
      </c>
    </row>
    <row r="5">
      <c r="A5" s="2" t="inlineStr">
        <is>
          <t>Montant emprunté cible (€)</t>
        </is>
      </c>
      <c r="B5" s="3">
        <f>B3-B4</f>
        <v/>
      </c>
    </row>
    <row r="6">
      <c r="A6" s="2" t="inlineStr">
        <is>
          <t>Durée souhaitée (mois)</t>
        </is>
      </c>
      <c r="B6" s="4" t="n">
        <v>240</v>
      </c>
    </row>
    <row r="7">
      <c r="A7" s="2" t="inlineStr">
        <is>
          <t>Revenus nets mensuels du foyer (€)</t>
        </is>
      </c>
      <c r="B7" s="3" t="n">
        <v>5800</v>
      </c>
    </row>
    <row r="8">
      <c r="A8" s="2" t="inlineStr">
        <is>
          <t>Autres mensualités de crédit (€)</t>
        </is>
      </c>
      <c r="B8" s="3" t="n">
        <v>250</v>
      </c>
    </row>
    <row r="9">
      <c r="A9" s="2" t="inlineStr">
        <is>
          <t>Seuil réglementaire d'endettement (%)</t>
        </is>
      </c>
      <c r="B9" s="5" t="n">
        <v>0.35</v>
      </c>
    </row>
    <row r="10">
      <c r="A10" s="2" t="inlineStr">
        <is>
          <t>Date de comparaison</t>
        </is>
      </c>
      <c r="B10" s="6" t="n">
        <v>46233</v>
      </c>
    </row>
    <row r="12">
      <c r="A12" s="7" t="inlineStr">
        <is>
          <t>Note : les frais de notaire, estimés entre 7 % et 8 % dans l'ancien, peuvent être intégrés à l'apport ou au financement selon le montage.</t>
        </is>
      </c>
    </row>
    <row r="14" ht="40" customHeight="1">
      <c r="A14" s="8" t="inlineStr">
        <is>
          <t>Rang</t>
        </is>
      </c>
      <c r="B14" s="8" t="inlineStr">
        <is>
          <t>Banque</t>
        </is>
      </c>
      <c r="C14" s="8" t="inlineStr">
        <is>
          <t>Agence / conseiller</t>
        </is>
      </c>
      <c r="D14" s="8" t="inlineStr">
        <is>
          <t>Type de taux</t>
        </is>
      </c>
      <c r="E14" s="8" t="inlineStr">
        <is>
          <t>Montant emprunté (€)</t>
        </is>
      </c>
      <c r="F14" s="8" t="inlineStr">
        <is>
          <t>Durée (mois)</t>
        </is>
      </c>
      <c r="G14" s="8" t="inlineStr">
        <is>
          <t>Taux nominal annuel (%)</t>
        </is>
      </c>
      <c r="H14" s="8" t="inlineStr">
        <is>
          <t>TAEG indicatif (%)</t>
        </is>
      </c>
      <c r="I14" s="8" t="inlineStr">
        <is>
          <t>Taux assurance annuel (%)</t>
        </is>
      </c>
      <c r="J14" s="8" t="inlineStr">
        <is>
          <t>Assurance mensuelle (€)</t>
        </is>
      </c>
      <c r="K14" s="8" t="inlineStr">
        <is>
          <t>Frais de dossier (€)</t>
        </is>
      </c>
      <c r="L14" s="8" t="inlineStr">
        <is>
          <t>Frais de garantie (€)</t>
        </is>
      </c>
      <c r="M14" s="8" t="inlineStr">
        <is>
          <t>Mensualité hors assurance (€)</t>
        </is>
      </c>
      <c r="N14" s="8" t="inlineStr">
        <is>
          <t>Mensualité assurance incluse (€)</t>
        </is>
      </c>
      <c r="O14" s="8" t="inlineStr">
        <is>
          <t>Coût des intérêts (€)</t>
        </is>
      </c>
      <c r="P14" s="8" t="inlineStr">
        <is>
          <t>Coût assurance total (€)</t>
        </is>
      </c>
      <c r="Q14" s="8" t="inlineStr">
        <is>
          <t>Coût total du crédit (€)</t>
        </is>
      </c>
      <c r="R14" s="8" t="inlineStr">
        <is>
          <t>Coût total avec frais (€)</t>
        </is>
      </c>
      <c r="S14" s="8" t="inlineStr">
        <is>
          <t>Taux d'endettement (%)</t>
        </is>
      </c>
      <c r="T14" s="8" t="inlineStr">
        <is>
          <t>Avis</t>
        </is>
      </c>
      <c r="U14" s="8" t="inlineStr">
        <is>
          <t>Date de l'offre</t>
        </is>
      </c>
      <c r="V14" s="8" t="inlineStr">
        <is>
          <t>Observations</t>
        </is>
      </c>
    </row>
    <row r="15">
      <c r="A15" s="9">
        <f>RANK(R15,$R$15:$R$23,1)</f>
        <v/>
      </c>
      <c r="B15" s="10" t="inlineStr">
        <is>
          <t>Crédit Agricole Rhône-Alpes</t>
        </is>
      </c>
      <c r="C15" s="10" t="inlineStr">
        <is>
          <t>Camille Durand — Lyon 2e</t>
        </is>
      </c>
      <c r="D15" s="11" t="inlineStr">
        <is>
          <t>Fixe</t>
        </is>
      </c>
      <c r="E15" s="3" t="n">
        <v>260000</v>
      </c>
      <c r="F15" s="4" t="n">
        <v>240</v>
      </c>
      <c r="G15" s="5" t="n">
        <v>0.0342</v>
      </c>
      <c r="H15" s="5" t="n">
        <v>0.0395</v>
      </c>
      <c r="I15" s="5" t="n">
        <v>0.0018</v>
      </c>
      <c r="J15" s="12">
        <f>E15*I15/12</f>
        <v/>
      </c>
      <c r="K15" s="3" t="n">
        <v>850</v>
      </c>
      <c r="L15" s="3" t="n">
        <v>2100</v>
      </c>
      <c r="M15" s="12">
        <f>-PMT(G15/12,F15,E15)</f>
        <v/>
      </c>
      <c r="N15" s="12">
        <f>M15+J15</f>
        <v/>
      </c>
      <c r="O15" s="12">
        <f>M15*F15-E15</f>
        <v/>
      </c>
      <c r="P15" s="12">
        <f>J15*F15</f>
        <v/>
      </c>
      <c r="Q15" s="12">
        <f>O15+P15</f>
        <v/>
      </c>
      <c r="R15" s="12">
        <f>Q15+K15+L15</f>
        <v/>
      </c>
      <c r="S15" s="13">
        <f>IFERROR((N15+$B$8)/$B$7,0)</f>
        <v/>
      </c>
      <c r="T15" s="11">
        <f>IF(S15&lt;=$B$9,"Conforme","À surveiller")</f>
        <v/>
      </c>
      <c r="U15" s="6" t="n">
        <v>46205</v>
      </c>
      <c r="V15" s="14" t="inlineStr">
        <is>
          <t>Délégation d'assurance acceptée</t>
        </is>
      </c>
    </row>
    <row r="16">
      <c r="A16" s="15">
        <f>RANK(R16,$R$15:$R$23,1)</f>
        <v/>
      </c>
      <c r="B16" s="16" t="inlineStr">
        <is>
          <t>BNP Paribas</t>
        </is>
      </c>
      <c r="C16" s="16" t="inlineStr">
        <is>
          <t>Julien Moreau — Paris Victor Hugo</t>
        </is>
      </c>
      <c r="D16" s="17" t="inlineStr">
        <is>
          <t>Fixe</t>
        </is>
      </c>
      <c r="E16" s="3" t="n">
        <v>270000</v>
      </c>
      <c r="F16" s="4" t="n">
        <v>240</v>
      </c>
      <c r="G16" s="5" t="n">
        <v>0.0348</v>
      </c>
      <c r="H16" s="5" t="n">
        <v>0.0402</v>
      </c>
      <c r="I16" s="5" t="n">
        <v>0.0022</v>
      </c>
      <c r="J16" s="18">
        <f>E16*I16/12</f>
        <v/>
      </c>
      <c r="K16" s="3" t="n">
        <v>1000</v>
      </c>
      <c r="L16" s="3" t="n">
        <v>2400</v>
      </c>
      <c r="M16" s="18">
        <f>-PMT(G16/12,F16,E16)</f>
        <v/>
      </c>
      <c r="N16" s="18">
        <f>M16+J16</f>
        <v/>
      </c>
      <c r="O16" s="18">
        <f>M16*F16-E16</f>
        <v/>
      </c>
      <c r="P16" s="18">
        <f>J16*F16</f>
        <v/>
      </c>
      <c r="Q16" s="18">
        <f>O16+P16</f>
        <v/>
      </c>
      <c r="R16" s="18">
        <f>Q16+K16+L16</f>
        <v/>
      </c>
      <c r="S16" s="19">
        <f>IFERROR((N16+$B$8)/$B$7,0)</f>
        <v/>
      </c>
      <c r="T16" s="17">
        <f>IF(S16&lt;=$B$9,"Conforme","À surveiller")</f>
        <v/>
      </c>
      <c r="U16" s="6" t="n">
        <v>46208</v>
      </c>
      <c r="V16" s="14" t="inlineStr">
        <is>
          <t>Domiciliation des revenus exigée</t>
        </is>
      </c>
    </row>
    <row r="17">
      <c r="A17" s="9">
        <f>RANK(R17,$R$15:$R$23,1)</f>
        <v/>
      </c>
      <c r="B17" s="10" t="inlineStr">
        <is>
          <t>Société Générale</t>
        </is>
      </c>
      <c r="C17" s="10" t="inlineStr">
        <is>
          <t>Sophie Lefèvre — Bordeaux Gambetta</t>
        </is>
      </c>
      <c r="D17" s="11" t="inlineStr">
        <is>
          <t>Fixe</t>
        </is>
      </c>
      <c r="E17" s="3" t="n">
        <v>265000</v>
      </c>
      <c r="F17" s="4" t="n">
        <v>252</v>
      </c>
      <c r="G17" s="5" t="n">
        <v>0.0355</v>
      </c>
      <c r="H17" s="5" t="n">
        <v>0.0398</v>
      </c>
      <c r="I17" s="5" t="n">
        <v>0.0019</v>
      </c>
      <c r="J17" s="12">
        <f>E17*I17/12</f>
        <v/>
      </c>
      <c r="K17" s="3" t="n">
        <v>750</v>
      </c>
      <c r="L17" s="3" t="n">
        <v>2200</v>
      </c>
      <c r="M17" s="12">
        <f>-PMT(G17/12,F17,E17)</f>
        <v/>
      </c>
      <c r="N17" s="12">
        <f>M17+J17</f>
        <v/>
      </c>
      <c r="O17" s="12">
        <f>M17*F17-E17</f>
        <v/>
      </c>
      <c r="P17" s="12">
        <f>J17*F17</f>
        <v/>
      </c>
      <c r="Q17" s="12">
        <f>O17+P17</f>
        <v/>
      </c>
      <c r="R17" s="12">
        <f>Q17+K17+L17</f>
        <v/>
      </c>
      <c r="S17" s="13">
        <f>IFERROR((N17+$B$8)/$B$7,0)</f>
        <v/>
      </c>
      <c r="T17" s="11">
        <f>IF(S17&lt;=$B$9,"Conforme","À surveiller")</f>
        <v/>
      </c>
      <c r="U17" s="6" t="n">
        <v>46211</v>
      </c>
      <c r="V17" s="14" t="inlineStr">
        <is>
          <t>Frais de dossier négociables</t>
        </is>
      </c>
    </row>
    <row r="18">
      <c r="A18" s="15">
        <f>RANK(R18,$R$15:$R$23,1)</f>
        <v/>
      </c>
      <c r="B18" s="16" t="inlineStr">
        <is>
          <t>Banque Populaire AURA</t>
        </is>
      </c>
      <c r="C18" s="16" t="inlineStr">
        <is>
          <t>Thomas Bernard — Grenoble</t>
        </is>
      </c>
      <c r="D18" s="17" t="inlineStr">
        <is>
          <t>Fixe</t>
        </is>
      </c>
      <c r="E18" s="3" t="n">
        <v>280000</v>
      </c>
      <c r="F18" s="4" t="n">
        <v>240</v>
      </c>
      <c r="G18" s="5" t="n">
        <v>0.0339</v>
      </c>
      <c r="H18" s="5" t="n">
        <v>0.0405</v>
      </c>
      <c r="I18" s="5" t="n">
        <v>0.0024</v>
      </c>
      <c r="J18" s="18">
        <f>E18*I18/12</f>
        <v/>
      </c>
      <c r="K18" s="3" t="n">
        <v>650</v>
      </c>
      <c r="L18" s="3" t="n">
        <v>2600</v>
      </c>
      <c r="M18" s="18">
        <f>-PMT(G18/12,F18,E18)</f>
        <v/>
      </c>
      <c r="N18" s="18">
        <f>M18+J18</f>
        <v/>
      </c>
      <c r="O18" s="18">
        <f>M18*F18-E18</f>
        <v/>
      </c>
      <c r="P18" s="18">
        <f>J18*F18</f>
        <v/>
      </c>
      <c r="Q18" s="18">
        <f>O18+P18</f>
        <v/>
      </c>
      <c r="R18" s="18">
        <f>Q18+K18+L18</f>
        <v/>
      </c>
      <c r="S18" s="19">
        <f>IFERROR((N18+$B$8)/$B$7,0)</f>
        <v/>
      </c>
      <c r="T18" s="17">
        <f>IF(S18&lt;=$B$9,"Conforme","À surveiller")</f>
        <v/>
      </c>
      <c r="U18" s="6" t="n">
        <v>46214</v>
      </c>
      <c r="V18" s="14" t="inlineStr">
        <is>
          <t>Assurance groupe uniquement</t>
        </is>
      </c>
    </row>
    <row r="19">
      <c r="A19" s="9">
        <f>RANK(R19,$R$15:$R$23,1)</f>
        <v/>
      </c>
      <c r="B19" s="10" t="inlineStr">
        <is>
          <t>Caisse d'Épargne Rhône-Alpes</t>
        </is>
      </c>
      <c r="C19" s="10" t="inlineStr">
        <is>
          <t>Léa Martin — Annecy</t>
        </is>
      </c>
      <c r="D19" s="11" t="inlineStr">
        <is>
          <t>Fixe</t>
        </is>
      </c>
      <c r="E19" s="3" t="n">
        <v>260000</v>
      </c>
      <c r="F19" s="4" t="n">
        <v>240</v>
      </c>
      <c r="G19" s="5" t="n">
        <v>0.0351</v>
      </c>
      <c r="H19" s="5" t="n">
        <v>0.0392</v>
      </c>
      <c r="I19" s="5" t="n">
        <v>0.0021</v>
      </c>
      <c r="J19" s="12">
        <f>E19*I19/12</f>
        <v/>
      </c>
      <c r="K19" s="3" t="n">
        <v>900</v>
      </c>
      <c r="L19" s="3" t="n">
        <v>2300</v>
      </c>
      <c r="M19" s="12">
        <f>-PMT(G19/12,F19,E19)</f>
        <v/>
      </c>
      <c r="N19" s="12">
        <f>M19+J19</f>
        <v/>
      </c>
      <c r="O19" s="12">
        <f>M19*F19-E19</f>
        <v/>
      </c>
      <c r="P19" s="12">
        <f>J19*F19</f>
        <v/>
      </c>
      <c r="Q19" s="12">
        <f>O19+P19</f>
        <v/>
      </c>
      <c r="R19" s="12">
        <f>Q19+K19+L19</f>
        <v/>
      </c>
      <c r="S19" s="13">
        <f>IFERROR((N19+$B$8)/$B$7,0)</f>
        <v/>
      </c>
      <c r="T19" s="11">
        <f>IF(S19&lt;=$B$9,"Conforme","À surveiller")</f>
        <v/>
      </c>
      <c r="U19" s="6" t="n">
        <v>46218</v>
      </c>
      <c r="V19" s="14" t="inlineStr">
        <is>
          <t>Bonification clientèle 0,10 pt</t>
        </is>
      </c>
    </row>
    <row r="20">
      <c r="A20" s="15">
        <f>RANK(R20,$R$15:$R$23,1)</f>
        <v/>
      </c>
      <c r="B20" s="16" t="inlineStr">
        <is>
          <t>CIC Lyonnaise de Banque</t>
        </is>
      </c>
      <c r="C20" s="16" t="inlineStr">
        <is>
          <t>Nicolas Petit — Lyon Part-Dieu</t>
        </is>
      </c>
      <c r="D20" s="17" t="inlineStr">
        <is>
          <t>Fixe</t>
        </is>
      </c>
      <c r="E20" s="3" t="n">
        <v>275000</v>
      </c>
      <c r="F20" s="4" t="n">
        <v>252</v>
      </c>
      <c r="G20" s="5" t="n">
        <v>0.0346</v>
      </c>
      <c r="H20" s="5" t="n">
        <v>0.0385</v>
      </c>
      <c r="I20" s="5" t="n">
        <v>0.0016</v>
      </c>
      <c r="J20" s="18">
        <f>E20*I20/12</f>
        <v/>
      </c>
      <c r="K20" s="3" t="n">
        <v>800</v>
      </c>
      <c r="L20" s="3" t="n">
        <v>2000</v>
      </c>
      <c r="M20" s="18">
        <f>-PMT(G20/12,F20,E20)</f>
        <v/>
      </c>
      <c r="N20" s="18">
        <f>M20+J20</f>
        <v/>
      </c>
      <c r="O20" s="18">
        <f>M20*F20-E20</f>
        <v/>
      </c>
      <c r="P20" s="18">
        <f>J20*F20</f>
        <v/>
      </c>
      <c r="Q20" s="18">
        <f>O20+P20</f>
        <v/>
      </c>
      <c r="R20" s="18">
        <f>Q20+K20+L20</f>
        <v/>
      </c>
      <c r="S20" s="19">
        <f>IFERROR((N20+$B$8)/$B$7,0)</f>
        <v/>
      </c>
      <c r="T20" s="17">
        <f>IF(S20&lt;=$B$9,"Conforme","À surveiller")</f>
        <v/>
      </c>
      <c r="U20" s="6" t="n">
        <v>46222</v>
      </c>
      <c r="V20" s="14" t="inlineStr">
        <is>
          <t>Taux bonifié primo-accédant</t>
        </is>
      </c>
    </row>
    <row r="21">
      <c r="A21" s="9">
        <f>RANK(R21,$R$15:$R$23,1)</f>
        <v/>
      </c>
      <c r="B21" s="10" t="inlineStr">
        <is>
          <t>LCL</t>
        </is>
      </c>
      <c r="C21" s="10" t="inlineStr">
        <is>
          <t>Émilie Rousseau — Nantes Centre</t>
        </is>
      </c>
      <c r="D21" s="11" t="inlineStr">
        <is>
          <t>Fixe</t>
        </is>
      </c>
      <c r="E21" s="3" t="n">
        <v>265000</v>
      </c>
      <c r="F21" s="4" t="n">
        <v>240</v>
      </c>
      <c r="G21" s="5" t="n">
        <v>0.0359</v>
      </c>
      <c r="H21" s="5" t="n">
        <v>0.0401</v>
      </c>
      <c r="I21" s="5" t="n">
        <v>0.002</v>
      </c>
      <c r="J21" s="12">
        <f>E21*I21/12</f>
        <v/>
      </c>
      <c r="K21" s="3" t="n">
        <v>950</v>
      </c>
      <c r="L21" s="3" t="n">
        <v>2250</v>
      </c>
      <c r="M21" s="12">
        <f>-PMT(G21/12,F21,E21)</f>
        <v/>
      </c>
      <c r="N21" s="12">
        <f>M21+J21</f>
        <v/>
      </c>
      <c r="O21" s="12">
        <f>M21*F21-E21</f>
        <v/>
      </c>
      <c r="P21" s="12">
        <f>J21*F21</f>
        <v/>
      </c>
      <c r="Q21" s="12">
        <f>O21+P21</f>
        <v/>
      </c>
      <c r="R21" s="12">
        <f>Q21+K21+L21</f>
        <v/>
      </c>
      <c r="S21" s="13">
        <f>IFERROR((N21+$B$8)/$B$7,0)</f>
        <v/>
      </c>
      <c r="T21" s="11">
        <f>IF(S21&lt;=$B$9,"Conforme","À surveiller")</f>
        <v/>
      </c>
      <c r="U21" s="6" t="n">
        <v>46225</v>
      </c>
      <c r="V21" s="14" t="inlineStr">
        <is>
          <t>Modulation des mensualités</t>
        </is>
      </c>
    </row>
    <row r="22">
      <c r="A22" s="15">
        <f>RANK(R22,$R$15:$R$23,1)</f>
        <v/>
      </c>
      <c r="B22" s="16" t="inlineStr">
        <is>
          <t>La Banque Postale</t>
        </is>
      </c>
      <c r="C22" s="16" t="inlineStr">
        <is>
          <t>Antoine Garcia — Marseille Prado</t>
        </is>
      </c>
      <c r="D22" s="17" t="inlineStr">
        <is>
          <t>Fixe</t>
        </is>
      </c>
      <c r="E22" s="3" t="n">
        <v>260000</v>
      </c>
      <c r="F22" s="4" t="n">
        <v>240</v>
      </c>
      <c r="G22" s="5" t="n">
        <v>0.0362</v>
      </c>
      <c r="H22" s="5" t="n">
        <v>0.039</v>
      </c>
      <c r="I22" s="5" t="n">
        <v>0.0017</v>
      </c>
      <c r="J22" s="18">
        <f>E22*I22/12</f>
        <v/>
      </c>
      <c r="K22" s="3" t="n">
        <v>500</v>
      </c>
      <c r="L22" s="3" t="n">
        <v>1800</v>
      </c>
      <c r="M22" s="18">
        <f>-PMT(G22/12,F22,E22)</f>
        <v/>
      </c>
      <c r="N22" s="18">
        <f>M22+J22</f>
        <v/>
      </c>
      <c r="O22" s="18">
        <f>M22*F22-E22</f>
        <v/>
      </c>
      <c r="P22" s="18">
        <f>J22*F22</f>
        <v/>
      </c>
      <c r="Q22" s="18">
        <f>O22+P22</f>
        <v/>
      </c>
      <c r="R22" s="18">
        <f>Q22+K22+L22</f>
        <v/>
      </c>
      <c r="S22" s="19">
        <f>IFERROR((N22+$B$8)/$B$7,0)</f>
        <v/>
      </c>
      <c r="T22" s="17">
        <f>IF(S22&lt;=$B$9,"Conforme","À surveiller")</f>
        <v/>
      </c>
      <c r="U22" s="6" t="n">
        <v>46229</v>
      </c>
      <c r="V22" s="14" t="inlineStr">
        <is>
          <t>Frais de dossier réduits</t>
        </is>
      </c>
    </row>
    <row r="23">
      <c r="A23" s="9">
        <f>RANK(R23,$R$15:$R$23,1)</f>
        <v/>
      </c>
      <c r="B23" s="10" t="inlineStr">
        <is>
          <t>Crédit Mutuel</t>
        </is>
      </c>
      <c r="C23" s="10" t="inlineStr">
        <is>
          <t>Camille Durand — Villeurbanne</t>
        </is>
      </c>
      <c r="D23" s="11" t="inlineStr">
        <is>
          <t>Fixe</t>
        </is>
      </c>
      <c r="E23" s="3" t="n">
        <v>270000</v>
      </c>
      <c r="F23" s="4" t="n">
        <v>240</v>
      </c>
      <c r="G23" s="5" t="n">
        <v>0.0344</v>
      </c>
      <c r="H23" s="5" t="n">
        <v>0.04</v>
      </c>
      <c r="I23" s="5" t="n">
        <v>0.0023</v>
      </c>
      <c r="J23" s="12">
        <f>E23*I23/12</f>
        <v/>
      </c>
      <c r="K23" s="3" t="n">
        <v>700</v>
      </c>
      <c r="L23" s="3" t="n">
        <v>2150</v>
      </c>
      <c r="M23" s="12">
        <f>-PMT(G23/12,F23,E23)</f>
        <v/>
      </c>
      <c r="N23" s="12">
        <f>M23+J23</f>
        <v/>
      </c>
      <c r="O23" s="12">
        <f>M23*F23-E23</f>
        <v/>
      </c>
      <c r="P23" s="12">
        <f>J23*F23</f>
        <v/>
      </c>
      <c r="Q23" s="12">
        <f>O23+P23</f>
        <v/>
      </c>
      <c r="R23" s="12">
        <f>Q23+K23+L23</f>
        <v/>
      </c>
      <c r="S23" s="13">
        <f>IFERROR((N23+$B$8)/$B$7,0)</f>
        <v/>
      </c>
      <c r="T23" s="11">
        <f>IF(S23&lt;=$B$9,"Conforme","À surveiller")</f>
        <v/>
      </c>
      <c r="U23" s="6" t="n">
        <v>46232</v>
      </c>
      <c r="V23" s="14" t="inlineStr">
        <is>
          <t>Possibilité de report d'échéances</t>
        </is>
      </c>
    </row>
    <row r="25">
      <c r="B25" s="2" t="inlineStr">
        <is>
          <t>Meilleure offre (banque)</t>
        </is>
      </c>
      <c r="E25" s="20">
        <f>IFERROR(INDEX($B$15:$B$23,MATCH(MIN(R15:R23),R15:R23,0)),"—")</f>
        <v/>
      </c>
    </row>
    <row r="26">
      <c r="B26" s="2" t="inlineStr">
        <is>
          <t>Coût moyen des offres (€)</t>
        </is>
      </c>
      <c r="E26" s="21">
        <f>AVERAGE(R15:R23)</f>
        <v/>
      </c>
    </row>
    <row r="27">
      <c r="B27" s="2" t="inlineStr">
        <is>
          <t>Nombre d'offres conformes au seuil</t>
        </is>
      </c>
      <c r="E27" s="22">
        <f>COUNTIF(T15:T23,"Conforme")</f>
        <v/>
      </c>
    </row>
    <row r="28">
      <c r="B28" s="2" t="inlineStr">
        <is>
          <t>Économie maximale entre offres (€)</t>
        </is>
      </c>
      <c r="E28" s="21">
        <f>MAX(R15:R23)-MIN(R15:R23)</f>
        <v/>
      </c>
    </row>
  </sheetData>
  <mergeCells count="1">
    <mergeCell ref="A1:W1"/>
  </mergeCells>
  <conditionalFormatting sqref="A15:V23">
    <cfRule type="expression" priority="1" dxfId="0" stopIfTrue="0">
      <formula>$A15=1</formula>
    </cfRule>
  </conditionalFormatting>
  <conditionalFormatting sqref="S15:S23">
    <cfRule type="expression" priority="2" dxfId="1" stopIfTrue="0">
      <formula>$S15&gt;$B$9</formula>
    </cfRule>
  </conditionalFormatting>
  <conditionalFormatting sqref="R15:R23">
    <cfRule type="expression" priority="3" dxfId="2" stopIfTrue="0">
      <formula>$R15&lt;AVERAGE($R$15:$R$23)</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25"/>
  <sheetViews>
    <sheetView workbookViewId="0">
      <selection activeCell="A1" sqref="A1"/>
    </sheetView>
  </sheetViews>
  <sheetFormatPr baseColWidth="8" defaultRowHeight="15"/>
  <cols>
    <col width="42" customWidth="1" min="1" max="1"/>
    <col width="24" customWidth="1" min="2" max="2"/>
    <col width="28" customWidth="1" min="3" max="3"/>
    <col width="30" customWidth="1" min="4" max="4"/>
    <col width="3" customWidth="1" min="5" max="5"/>
  </cols>
  <sheetData>
    <row r="1" ht="28" customHeight="1">
      <c r="A1" s="1" t="inlineStr">
        <is>
          <t>Synthèse des offres de prêt immobilier</t>
        </is>
      </c>
    </row>
    <row r="3">
      <c r="A3" s="23" t="inlineStr">
        <is>
          <t>Meilleure banque selon le coût total</t>
        </is>
      </c>
      <c r="C3" s="24">
        <f>IFERROR(INDEX(Comparateur!B15:B23,MATCH(MIN(Comparateur!R15:R23),Comparateur!R15:R23,0)),"—")</f>
        <v/>
      </c>
    </row>
    <row r="4">
      <c r="A4" s="25" t="inlineStr">
        <is>
          <t>Mensualité minimale (assurance incluse)</t>
        </is>
      </c>
      <c r="C4" s="26">
        <f>MIN(Comparateur!N15:N23)</f>
        <v/>
      </c>
    </row>
    <row r="5">
      <c r="A5" s="27" t="inlineStr">
        <is>
          <t>TAEG minimal</t>
        </is>
      </c>
      <c r="C5" s="28">
        <f>MIN(Comparateur!H15:H23)</f>
        <v/>
      </c>
    </row>
    <row r="6">
      <c r="A6" s="25" t="inlineStr">
        <is>
          <t>Coût total minimal avec frais</t>
        </is>
      </c>
      <c r="C6" s="26">
        <f>MIN(Comparateur!R15:R23)</f>
        <v/>
      </c>
    </row>
    <row r="7">
      <c r="A7" s="27" t="inlineStr">
        <is>
          <t>Économie meilleure vs moins bonne offre</t>
        </is>
      </c>
      <c r="C7" s="26">
        <f>MAX(Comparateur!R15:R23)-MIN(Comparateur!R15:R23)</f>
        <v/>
      </c>
    </row>
    <row r="8">
      <c r="A8" s="25" t="inlineStr">
        <is>
          <t>Nombre d'offres respectant le seuil de 35 %</t>
        </is>
      </c>
      <c r="C8" s="29">
        <f>COUNTIF(Comparateur!T15:T23,"Conforme")</f>
        <v/>
      </c>
    </row>
    <row r="9">
      <c r="A9" s="27" t="inlineStr">
        <is>
          <t>Taux d'endettement de l'offre sélectionnée</t>
        </is>
      </c>
      <c r="C9" s="28">
        <f>IFERROR(INDEX(Comparateur!S15:S23,MATCH(MIN(Comparateur!R15:R23),Comparateur!R15:R23,0)),0)</f>
        <v/>
      </c>
    </row>
    <row r="12">
      <c r="A12" s="30" t="inlineStr">
        <is>
          <t>⚠ Vigilance : le TAEG réel dépend des garanties, de l'assurance, des frais et des conditions définitives de la banque.</t>
        </is>
      </c>
    </row>
    <row r="13">
      <c r="A13" s="7" t="inlineStr">
        <is>
          <t>Le taux d'endettement de 35 % est un repère usuel du HCSF et non une garantie d'accord de prêt.</t>
        </is>
      </c>
    </row>
    <row r="15">
      <c r="A15" s="31" t="inlineStr">
        <is>
          <t>Données des graphiques (liées au Comparateur)</t>
        </is>
      </c>
    </row>
    <row r="16">
      <c r="A16" s="8" t="inlineStr">
        <is>
          <t>Banque</t>
        </is>
      </c>
      <c r="B16" s="8" t="inlineStr">
        <is>
          <t>Coût total avec frais (€)</t>
        </is>
      </c>
      <c r="C16" s="8" t="inlineStr">
        <is>
          <t>Mensualité hors assurance (€)</t>
        </is>
      </c>
      <c r="D16" s="8" t="inlineStr">
        <is>
          <t>Mensualité assurance incluse (€)</t>
        </is>
      </c>
    </row>
    <row r="17">
      <c r="A17" s="32">
        <f>Comparateur!B15</f>
        <v/>
      </c>
      <c r="B17" s="18">
        <f>Comparateur!R15</f>
        <v/>
      </c>
      <c r="C17" s="18">
        <f>Comparateur!M15</f>
        <v/>
      </c>
      <c r="D17" s="18">
        <f>Comparateur!N15</f>
        <v/>
      </c>
    </row>
    <row r="18">
      <c r="A18" s="32">
        <f>Comparateur!B16</f>
        <v/>
      </c>
      <c r="B18" s="18">
        <f>Comparateur!R16</f>
        <v/>
      </c>
      <c r="C18" s="18">
        <f>Comparateur!M16</f>
        <v/>
      </c>
      <c r="D18" s="18">
        <f>Comparateur!N16</f>
        <v/>
      </c>
    </row>
    <row r="19">
      <c r="A19" s="32">
        <f>Comparateur!B17</f>
        <v/>
      </c>
      <c r="B19" s="18">
        <f>Comparateur!R17</f>
        <v/>
      </c>
      <c r="C19" s="18">
        <f>Comparateur!M17</f>
        <v/>
      </c>
      <c r="D19" s="18">
        <f>Comparateur!N17</f>
        <v/>
      </c>
    </row>
    <row r="20">
      <c r="A20" s="32">
        <f>Comparateur!B18</f>
        <v/>
      </c>
      <c r="B20" s="18">
        <f>Comparateur!R18</f>
        <v/>
      </c>
      <c r="C20" s="18">
        <f>Comparateur!M18</f>
        <v/>
      </c>
      <c r="D20" s="18">
        <f>Comparateur!N18</f>
        <v/>
      </c>
    </row>
    <row r="21">
      <c r="A21" s="32">
        <f>Comparateur!B19</f>
        <v/>
      </c>
      <c r="B21" s="18">
        <f>Comparateur!R19</f>
        <v/>
      </c>
      <c r="C21" s="18">
        <f>Comparateur!M19</f>
        <v/>
      </c>
      <c r="D21" s="18">
        <f>Comparateur!N19</f>
        <v/>
      </c>
    </row>
    <row r="22">
      <c r="A22" s="32">
        <f>Comparateur!B20</f>
        <v/>
      </c>
      <c r="B22" s="18">
        <f>Comparateur!R20</f>
        <v/>
      </c>
      <c r="C22" s="18">
        <f>Comparateur!M20</f>
        <v/>
      </c>
      <c r="D22" s="18">
        <f>Comparateur!N20</f>
        <v/>
      </c>
    </row>
    <row r="23">
      <c r="A23" s="32">
        <f>Comparateur!B21</f>
        <v/>
      </c>
      <c r="B23" s="18">
        <f>Comparateur!R21</f>
        <v/>
      </c>
      <c r="C23" s="18">
        <f>Comparateur!M21</f>
        <v/>
      </c>
      <c r="D23" s="18">
        <f>Comparateur!N21</f>
        <v/>
      </c>
    </row>
    <row r="24">
      <c r="A24" s="32">
        <f>Comparateur!B22</f>
        <v/>
      </c>
      <c r="B24" s="18">
        <f>Comparateur!R22</f>
        <v/>
      </c>
      <c r="C24" s="18">
        <f>Comparateur!M22</f>
        <v/>
      </c>
      <c r="D24" s="18">
        <f>Comparateur!N22</f>
        <v/>
      </c>
    </row>
    <row r="25">
      <c r="A25" s="32">
        <f>Comparateur!B23</f>
        <v/>
      </c>
      <c r="B25" s="18">
        <f>Comparateur!R23</f>
        <v/>
      </c>
      <c r="C25" s="18">
        <f>Comparateur!M23</f>
        <v/>
      </c>
      <c r="D25" s="18">
        <f>Comparateur!N23</f>
        <v/>
      </c>
    </row>
  </sheetData>
  <mergeCells count="1">
    <mergeCell ref="A1:J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30" customWidth="1" min="1" max="1"/>
    <col width="30" customWidth="1" min="2" max="2"/>
    <col width="30" customWidth="1" min="3" max="3"/>
    <col width="30" customWidth="1" min="4" max="4"/>
  </cols>
  <sheetData>
    <row r="1" ht="28" customHeight="1">
      <c r="A1" s="1" t="inlineStr">
        <is>
          <t>Mode d'emploi — Comparateur d'offres de prêt immobilier</t>
        </is>
      </c>
    </row>
    <row r="3">
      <c r="A3" s="33" t="inlineStr">
        <is>
          <t>Finalité du comparateur</t>
        </is>
      </c>
      <c r="B3" s="34" t="n"/>
      <c r="C3" s="34" t="n"/>
      <c r="D3" s="35" t="n"/>
    </row>
    <row r="4" ht="78" customHeight="1">
      <c r="A4" s="36" t="inlineStr">
        <is>
          <t>Ce classeur permet de comparer 9 offres de prêt immobilier proposées par des banques françaises : taux nominal, assurance emprunteur, frais, mensualité, coût total et taux d'endettement. L'offre la plus avantageuse est mise en évidence automatiquement (rang 1 en vert).</t>
        </is>
      </c>
      <c r="B4" s="34" t="n"/>
      <c r="C4" s="34" t="n"/>
      <c r="D4" s="35" t="n"/>
    </row>
    <row r="6">
      <c r="A6" s="33" t="inlineStr">
        <is>
          <t>Cellules à modifier (feuille Comparateur)</t>
        </is>
      </c>
      <c r="B6" s="34" t="n"/>
      <c r="C6" s="34" t="n"/>
      <c r="D6" s="35" t="n"/>
    </row>
    <row r="7" ht="78" customHeight="1">
      <c r="A7" s="36" t="inlineStr">
        <is>
          <t>Zone de paramètres B3:B10 : prix du bien, apport personnel, durée souhaitée, revenus nets mensuels, autres mensualités, seuil d'endettement (35 % par défaut) et date de comparaison. Dans le tableau, modifiez les colonnes en jaune pâle : montant emprunté, durée, taux nominal, TAEG indicatif, taux d'assurance, frais de dossier, frais de garantie, date de l'offre et observations. Toutes les autres colonnes se calculent automatiquement.</t>
        </is>
      </c>
      <c r="B7" s="34" t="n"/>
      <c r="C7" s="34" t="n"/>
      <c r="D7" s="35" t="n"/>
    </row>
    <row r="9">
      <c r="A9" s="33" t="inlineStr">
        <is>
          <t>Signification des indicateurs</t>
        </is>
      </c>
      <c r="B9" s="34" t="n"/>
      <c r="C9" s="34" t="n"/>
      <c r="D9" s="35" t="n"/>
    </row>
    <row r="10" ht="78" customHeight="1">
      <c r="A10" s="36" t="inlineStr">
        <is>
          <t>Mensualité hors assurance : remboursement du capital et des intérêts seuls. Mensualité assurance incluse : mensualité totale à payer chaque mois. Coût des intérêts : total des intérêts sur toute la durée. Coût assurance total : cumul des primes d'assurance. Coût total du crédit : intérêts + assurance. Coût total avec frais : ajoute les frais de dossier et de garantie. Taux d'endettement : part des revenus nets consacrée aux crédits (référence HCSF : 35 % assurance incluse).</t>
        </is>
      </c>
      <c r="B10" s="34" t="n"/>
      <c r="C10" s="34" t="n"/>
      <c r="D10" s="35" t="n"/>
    </row>
    <row r="12">
      <c r="A12" s="33" t="inlineStr">
        <is>
          <t>Méthode de calcul des mensualités (fonction PMT)</t>
        </is>
      </c>
      <c r="B12" s="34" t="n"/>
      <c r="C12" s="34" t="n"/>
      <c r="D12" s="35" t="n"/>
    </row>
    <row r="13" ht="78" customHeight="1">
      <c r="A13" s="36" t="inlineStr">
        <is>
          <t>La mensualité hors assurance est calculée avec la fonction financière PMT (VPM en français) : =-PMT(taux annuel / 12, durée en mois, montant emprunté). Elle suppose un taux fixe et des mensualités constantes. L'assurance mensuelle est calculée sur le capital initial : montant emprunté × taux d'assurance annuel / 12.</t>
        </is>
      </c>
      <c r="B13" s="34" t="n"/>
      <c r="C13" s="34" t="n"/>
      <c r="D13" s="35" t="n"/>
    </row>
    <row r="15">
      <c r="A15" s="33" t="inlineStr">
        <is>
          <t>Taux nominal et TAEG</t>
        </is>
      </c>
      <c r="B15" s="34" t="n"/>
      <c r="C15" s="34" t="n"/>
      <c r="D15" s="35" t="n"/>
    </row>
    <row r="16" ht="78" customHeight="1">
      <c r="A16" s="36" t="inlineStr">
        <is>
          <t>Le taux nominal ne rémunère que le capital emprunté. Le TAEG (Taux Annuel Effectif Global) intègre en plus l'assurance, les frais de dossier, les frais de garantie et les frais annexes obligatoires : c'est l'indicateur de comparaison le plus pertinent entre deux offres. Les TAEG de ce classeur sont indicatifs.</t>
        </is>
      </c>
      <c r="B16" s="34" t="n"/>
      <c r="C16" s="34" t="n"/>
      <c r="D16" s="35" t="n"/>
    </row>
    <row r="18">
      <c r="A18" s="33" t="inlineStr">
        <is>
          <t>Assurance, garantie et frais de dossier</t>
        </is>
      </c>
      <c r="B18" s="34" t="n"/>
      <c r="C18" s="34" t="n"/>
      <c r="D18" s="35" t="n"/>
    </row>
    <row r="19" ht="78" customHeight="1">
      <c r="A19" s="36" t="inlineStr">
        <is>
          <t>L'assurance emprunteur (décès, invalidité, incapacité) peut être souscrite auprès de la banque ou en délégation. Les frais de garantie (cautionnement ou hypothèque) représentent souvent environ 1 % du montant emprunté. Les frais de dossier sont parfois négociables ou offerts.</t>
        </is>
      </c>
      <c r="B19" s="34" t="n"/>
      <c r="C19" s="34" t="n"/>
      <c r="D19" s="35" t="n"/>
    </row>
    <row r="21">
      <c r="A21" s="33" t="inlineStr">
        <is>
          <t>Vérifications recommandées</t>
        </is>
      </c>
      <c r="B21" s="34" t="n"/>
      <c r="C21" s="34" t="n"/>
      <c r="D21" s="35" t="n"/>
    </row>
    <row r="22" ht="78" customHeight="1">
      <c r="A22" s="36" t="inlineStr">
        <is>
          <t>Avant de vous engager : vérifiez l'offre de prêt écrite, le tableau d'amortissement définitif, le TAEG contractuel, les conditions suspensives, les possibilités de remboursement anticipé (IRA) et la modularité des échéances. Comparez toujours sur la base du coût total avec frais, pas seulement sur le taux nominal.</t>
        </is>
      </c>
      <c r="B22" s="34" t="n"/>
      <c r="C22" s="34" t="n"/>
      <c r="D22" s="35" t="n"/>
    </row>
    <row r="24">
      <c r="A24" s="33" t="inlineStr">
        <is>
          <t>Avertissement</t>
        </is>
      </c>
      <c r="B24" s="34" t="n"/>
      <c r="C24" s="34" t="n"/>
      <c r="D24" s="35" t="n"/>
    </row>
    <row r="25" ht="78" customHeight="1">
      <c r="A25" s="36" t="inlineStr">
        <is>
          <t>Cet outil est fourni à titre indicatif : il ne remplace pas une offre de prêt bancaire personnalisée ni le conseil d'un courtier ou d'un établissement de crédit. Les simulations sont établies au 30/07/2026 avec des données d'exemple.</t>
        </is>
      </c>
      <c r="B25" s="34" t="n"/>
      <c r="C25" s="34" t="n"/>
      <c r="D25" s="35" t="n"/>
    </row>
  </sheetData>
  <mergeCells count="17">
    <mergeCell ref="A1:D1"/>
    <mergeCell ref="A3:D3"/>
    <mergeCell ref="A4:D4"/>
    <mergeCell ref="A6:D6"/>
    <mergeCell ref="A7:D7"/>
    <mergeCell ref="A9:D9"/>
    <mergeCell ref="A10:D10"/>
    <mergeCell ref="A12:D12"/>
    <mergeCell ref="A13:D13"/>
    <mergeCell ref="A15:D15"/>
    <mergeCell ref="A16:D16"/>
    <mergeCell ref="A18:D18"/>
    <mergeCell ref="A19:D19"/>
    <mergeCell ref="A21:D21"/>
    <mergeCell ref="A22:D22"/>
    <mergeCell ref="A24:D24"/>
    <mergeCell ref="A25:D25"/>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2026-07-30T12:07:21Z</dcterms:created>
  <dcterms:modified xmlns:dcterms="http://purl.org/dc/terms/" xmlns:xsi="http://www.w3.org/2001/XMLSchema-instance" xsi:type="dcterms:W3CDTF">2026-07-30T12:07:21Z</dcterms:modified>
</cp:coreProperties>
</file>