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Échéancier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 ##0,00 &quot;€&quot;"/>
    <numFmt numFmtId="165" formatCode="DD/MM/YYYY"/>
    <numFmt numFmtId="166" formatCode="0.0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1"/>
    </font>
    <font>
      <name val="Calibri"/>
      <b val="1"/>
      <color rgb="000E7490"/>
      <sz val="12"/>
    </font>
    <font>
      <name val="Calibri"/>
      <b val="1"/>
      <sz val="12"/>
    </font>
    <font>
      <name val="Calibri"/>
      <b val="1"/>
      <sz val="11"/>
    </font>
    <font>
      <name val="Calibri"/>
      <b val="1"/>
      <color rgb="00FFFFFF"/>
      <sz val="12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0E7490"/>
      </patternFill>
    </fill>
    <fill>
      <patternFill patternType="solid">
        <fgColor rgb="00F0FDFA"/>
      </patternFill>
    </fill>
    <fill>
      <patternFill patternType="solid">
        <fgColor rgb="00E2E8F0"/>
      </patternFill>
    </fill>
    <fill>
      <patternFill patternType="solid">
        <fgColor rgb="00CBD5E1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right" vertical="center"/>
    </xf>
    <xf numFmtId="1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right" vertical="center"/>
    </xf>
    <xf numFmtId="1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0" pivotButton="0" quotePrefix="0" xfId="0"/>
    <xf numFmtId="0" fontId="2" fillId="6" borderId="1" applyAlignment="1" pivotButton="0" quotePrefix="0" xfId="0">
      <alignment horizontal="left" vertical="center"/>
    </xf>
    <xf numFmtId="1" fontId="5" fillId="7" borderId="1" applyAlignment="1" pivotButton="0" quotePrefix="0" xfId="0">
      <alignment horizontal="right" vertical="center"/>
    </xf>
    <xf numFmtId="164" fontId="5" fillId="7" borderId="1" applyAlignment="1" pivotButton="0" quotePrefix="0" xfId="0">
      <alignment horizontal="right" vertical="center"/>
    </xf>
    <xf numFmtId="10" fontId="5" fillId="7" borderId="1" applyAlignment="1" pivotButton="0" quotePrefix="0" xfId="0">
      <alignment horizontal="right" vertical="center"/>
    </xf>
    <xf numFmtId="166" fontId="5" fillId="7" borderId="1" applyAlignment="1" pivotButton="0" quotePrefix="0" xfId="0">
      <alignment horizontal="right" vertical="center"/>
    </xf>
    <xf numFmtId="0" fontId="0" fillId="8" borderId="0" pivotButton="0" quotePrefix="0" xfId="0"/>
    <xf numFmtId="0" fontId="6" fillId="9" borderId="1" applyAlignment="1" pivotButton="0" quotePrefix="0" xfId="0">
      <alignment horizontal="center" vertical="center"/>
    </xf>
    <xf numFmtId="0" fontId="6" fillId="9" borderId="1" applyAlignment="1" pivotButton="0" quotePrefix="0" xfId="0">
      <alignment horizontal="right" vertical="center"/>
    </xf>
    <xf numFmtId="164" fontId="6" fillId="9" borderId="1" applyAlignment="1" pivotButton="0" quotePrefix="0" xfId="0">
      <alignment horizontal="right" vertical="center"/>
    </xf>
    <xf numFmtId="1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1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0" fontId="7" fillId="6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164" fontId="5" fillId="7" borderId="1" applyAlignment="1" pivotButton="0" quotePrefix="0" xfId="0">
      <alignment horizontal="right" vertical="center"/>
    </xf>
    <xf numFmtId="166" fontId="5" fillId="7" borderId="1" applyAlignment="1" pivotButton="0" quotePrefix="0" xfId="0">
      <alignment horizontal="right" vertical="center"/>
    </xf>
    <xf numFmtId="164" fontId="6" fillId="9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</cellXfs>
  <cellStyles count="1">
    <cellStyle name="Normal" xfId="0" builtinId="0" hidden="0"/>
  </cellStyles>
  <dxfs count="3">
    <dxf>
      <font>
        <name val="Calibri"/>
        <b val="1"/>
        <color rgb="0016A34A"/>
        <sz val="11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1"/>
      </font>
      <fill>
        <patternFill patternType="solid">
          <fgColor rgb="00FEE2E2"/>
        </patternFill>
      </fill>
    </dxf>
    <dxf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Solde restant par locataire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'Synthèse'!E24</f>
            </strRef>
          </tx>
          <spPr>
            <a:solidFill xmlns:a="http://schemas.openxmlformats.org/drawingml/2006/main">
              <a:srgbClr val="0E7490"/>
            </a:solidFill>
            <a:ln xmlns:a="http://schemas.openxmlformats.org/drawingml/2006/main">
              <a:prstDash val="solid"/>
            </a:ln>
          </spPr>
          <cat>
            <numRef>
              <f>'Synthèse'!$A$25:$A$32</f>
            </numRef>
          </cat>
          <val>
            <numRef>
              <f>'Synthèse'!$E$25:$E$32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Locataire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statuts</a:t>
            </a:r>
          </a:p>
        </rich>
      </tx>
    </title>
    <plotArea>
      <pieChart>
        <varyColors val="1"/>
        <ser>
          <idx val="0"/>
          <order val="0"/>
          <tx>
            <strRef>
              <f>'Synthèse'!B17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'Synthèse'!$A$18:$A$20</f>
            </numRef>
          </cat>
          <val>
            <numRef>
              <f>'Synthèse'!$B$18:$B$20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8</col>
      <colOff>0</colOff>
      <row>3</row>
      <rowOff>0</rowOff>
    </from>
    <ext cx="792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8</col>
      <colOff>0</colOff>
      <row>21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30" customWidth="1" min="3" max="3"/>
    <col width="14" customWidth="1" min="4" max="4"/>
    <col width="12" customWidth="1" min="5" max="5"/>
    <col width="14" customWidth="1" min="6" max="6"/>
    <col width="14" customWidth="1" min="7" max="7"/>
    <col width="18" customWidth="1" min="8" max="8"/>
    <col width="14" customWidth="1" min="9" max="9"/>
    <col width="14" customWidth="1" min="10" max="10"/>
    <col width="16" customWidth="1" min="11" max="11"/>
    <col width="20" customWidth="1" min="12" max="12"/>
    <col width="22" customWidth="1" min="13" max="13"/>
    <col width="14" customWidth="1" min="14" max="14"/>
    <col width="12" customWidth="1" min="15" max="15"/>
    <col width="14" customWidth="1" min="16" max="16"/>
    <col width="35" customWidth="1" min="17" max="17"/>
  </cols>
  <sheetData>
    <row r="1" ht="30" customHeight="1">
      <c r="A1" s="1" t="inlineStr">
        <is>
          <t>ÉCHÉANCIER DE PAIEMENT DES LOYERS EN RETARD — 2026</t>
        </is>
      </c>
    </row>
    <row r="2" ht="22" customHeight="1">
      <c r="A2" s="2" t="inlineStr">
        <is>
          <t>ID Dossier</t>
        </is>
      </c>
      <c r="B2" s="2" t="inlineStr">
        <is>
          <t>Locataire</t>
        </is>
      </c>
      <c r="C2" s="2" t="inlineStr">
        <is>
          <t>Adresse du bien</t>
        </is>
      </c>
      <c r="D2" s="2" t="inlineStr">
        <is>
          <t>Ville</t>
        </is>
      </c>
      <c r="E2" s="2" t="inlineStr">
        <is>
          <t>Type de bail</t>
        </is>
      </c>
      <c r="F2" s="2" t="inlineStr">
        <is>
          <t>Loyer (€)</t>
        </is>
      </c>
      <c r="G2" s="2" t="inlineStr">
        <is>
          <t>Charges (€)</t>
        </is>
      </c>
      <c r="H2" s="2" t="inlineStr">
        <is>
          <t>Échéance initiale</t>
        </is>
      </c>
      <c r="I2" s="2" t="inlineStr">
        <is>
          <t>Montant dû (€)</t>
        </is>
      </c>
      <c r="J2" s="2" t="inlineStr">
        <is>
          <t>Montant payé (€)</t>
        </is>
      </c>
      <c r="K2" s="2" t="inlineStr">
        <is>
          <t>Solde restant (€)</t>
        </is>
      </c>
      <c r="L2" s="2" t="inlineStr">
        <is>
          <t>Date prévisionnelle</t>
        </is>
      </c>
      <c r="M2" s="2" t="inlineStr">
        <is>
          <t>Date de paiement réel</t>
        </is>
      </c>
      <c r="N2" s="2" t="inlineStr">
        <is>
          <t>Jours de retard</t>
        </is>
      </c>
      <c r="O2" s="2" t="inlineStr">
        <is>
          <t>Statut</t>
        </is>
      </c>
      <c r="P2" s="2" t="inlineStr">
        <is>
          <t>Pénalité (€)</t>
        </is>
      </c>
      <c r="Q2" s="2" t="inlineStr">
        <is>
          <t>Observations</t>
        </is>
      </c>
    </row>
    <row r="3">
      <c r="A3" s="3" t="inlineStr">
        <is>
          <t>DOS-001</t>
        </is>
      </c>
      <c r="B3" s="3" t="inlineStr">
        <is>
          <t>Camille Durand</t>
        </is>
      </c>
      <c r="C3" s="3" t="inlineStr">
        <is>
          <t>12 rue de la République</t>
        </is>
      </c>
      <c r="D3" s="3" t="inlineStr">
        <is>
          <t>Lyon</t>
        </is>
      </c>
      <c r="E3" s="3" t="inlineStr">
        <is>
          <t>Nu</t>
        </is>
      </c>
      <c r="F3" s="30" t="n">
        <v>780</v>
      </c>
      <c r="G3" s="30" t="n">
        <v>80</v>
      </c>
      <c r="H3" s="31" t="n">
        <v>46117</v>
      </c>
      <c r="I3" s="32">
        <f>F3+G3</f>
        <v/>
      </c>
      <c r="J3" s="30" t="n">
        <v>780</v>
      </c>
      <c r="K3" s="32">
        <f>I3-J3</f>
        <v/>
      </c>
      <c r="L3" s="31" t="n">
        <v>46122</v>
      </c>
      <c r="M3" s="31" t="n">
        <v>46130</v>
      </c>
      <c r="N3" s="7">
        <f>IF(M3="",IF(TODAY()&gt;H3,MAX(0,TODAY()-H3),0),MAX(0,M3-H3))</f>
        <v/>
      </c>
      <c r="O3" s="8">
        <f>IF(K3&lt;=0,"À jour",IF(N3&gt;0,"En retard","En attente"))</f>
        <v/>
      </c>
      <c r="P3" s="32">
        <f>IF(N3&gt;0,MAX(0,K3)*0.02,0)</f>
        <v/>
      </c>
      <c r="Q3" s="9" t="inlineStr">
        <is>
          <t>Paiement tardif habituel</t>
        </is>
      </c>
    </row>
    <row r="4">
      <c r="A4" s="10" t="inlineStr">
        <is>
          <t>DOS-002</t>
        </is>
      </c>
      <c r="B4" s="10" t="inlineStr">
        <is>
          <t>Julien Moreau</t>
        </is>
      </c>
      <c r="C4" s="10" t="inlineStr">
        <is>
          <t>8 avenue Victor Hugo</t>
        </is>
      </c>
      <c r="D4" s="10" t="inlineStr">
        <is>
          <t>Paris</t>
        </is>
      </c>
      <c r="E4" s="10" t="inlineStr">
        <is>
          <t>Meublé</t>
        </is>
      </c>
      <c r="F4" s="30" t="n">
        <v>1200</v>
      </c>
      <c r="G4" s="30" t="n">
        <v>150</v>
      </c>
      <c r="H4" s="31" t="n">
        <v>46113</v>
      </c>
      <c r="I4" s="33">
        <f>F4+G4</f>
        <v/>
      </c>
      <c r="J4" s="30" t="n">
        <v>600</v>
      </c>
      <c r="K4" s="33">
        <f>I4-J4</f>
        <v/>
      </c>
      <c r="L4" s="31" t="n">
        <v>46117</v>
      </c>
      <c r="M4" s="31" t="n">
        <v>46134</v>
      </c>
      <c r="N4" s="12">
        <f>IF(M4="",IF(TODAY()&gt;H4,MAX(0,TODAY()-H4),0),MAX(0,M4-H4))</f>
        <v/>
      </c>
      <c r="O4" s="13">
        <f>IF(K4&lt;=0,"À jour",IF(N4&gt;0,"En retard","En attente"))</f>
        <v/>
      </c>
      <c r="P4" s="33">
        <f>IF(N4&gt;0,MAX(0,K4)*0.02,0)</f>
        <v/>
      </c>
      <c r="Q4" s="9" t="inlineStr">
        <is>
          <t>Paiement partiel — relance envoyée</t>
        </is>
      </c>
    </row>
    <row r="5">
      <c r="A5" s="3" t="inlineStr">
        <is>
          <t>DOS-003</t>
        </is>
      </c>
      <c r="B5" s="3" t="inlineStr">
        <is>
          <t>Sophie Lefèvre</t>
        </is>
      </c>
      <c r="C5" s="3" t="inlineStr">
        <is>
          <t>24 cours Gambetta</t>
        </is>
      </c>
      <c r="D5" s="3" t="inlineStr">
        <is>
          <t>Bordeaux</t>
        </is>
      </c>
      <c r="E5" s="3" t="inlineStr">
        <is>
          <t>Nu</t>
        </is>
      </c>
      <c r="F5" s="30" t="n">
        <v>950</v>
      </c>
      <c r="G5" s="30" t="n">
        <v>100</v>
      </c>
      <c r="H5" s="31" t="n">
        <v>46117</v>
      </c>
      <c r="I5" s="32">
        <f>F5+G5</f>
        <v/>
      </c>
      <c r="J5" s="30" t="n">
        <v>1050</v>
      </c>
      <c r="K5" s="32">
        <f>I5-J5</f>
        <v/>
      </c>
      <c r="L5" s="31" t="n">
        <v>46120</v>
      </c>
      <c r="M5" s="31" t="n">
        <v>46120</v>
      </c>
      <c r="N5" s="7">
        <f>IF(M5="",IF(TODAY()&gt;H5,MAX(0,TODAY()-H5),0),MAX(0,M5-H5))</f>
        <v/>
      </c>
      <c r="O5" s="8">
        <f>IF(K5&lt;=0,"À jour",IF(N5&gt;0,"En retard","En attente"))</f>
        <v/>
      </c>
      <c r="P5" s="32">
        <f>IF(N5&gt;0,MAX(0,K5)*0.02,0)</f>
        <v/>
      </c>
      <c r="Q5" s="9" t="inlineStr">
        <is>
          <t>Réglé à temps</t>
        </is>
      </c>
    </row>
    <row r="6">
      <c r="A6" s="10" t="inlineStr">
        <is>
          <t>DOS-004</t>
        </is>
      </c>
      <c r="B6" s="10" t="inlineStr">
        <is>
          <t>Thomas Bernard</t>
        </is>
      </c>
      <c r="C6" s="10" t="inlineStr">
        <is>
          <t>18 rue Nationale</t>
        </is>
      </c>
      <c r="D6" s="10" t="inlineStr">
        <is>
          <t>Lille</t>
        </is>
      </c>
      <c r="E6" s="10" t="inlineStr">
        <is>
          <t>Nu</t>
        </is>
      </c>
      <c r="F6" s="30" t="n">
        <v>650</v>
      </c>
      <c r="G6" s="30" t="n">
        <v>60</v>
      </c>
      <c r="H6" s="31" t="n">
        <v>46086</v>
      </c>
      <c r="I6" s="33">
        <f>F6+G6</f>
        <v/>
      </c>
      <c r="J6" s="30" t="n">
        <v>0</v>
      </c>
      <c r="K6" s="33">
        <f>I6-J6</f>
        <v/>
      </c>
      <c r="L6" s="31" t="n">
        <v>46101</v>
      </c>
      <c r="M6" s="31" t="n"/>
      <c r="N6" s="12">
        <f>IF(M6="",IF(TODAY()&gt;H6,MAX(0,TODAY()-H6),0),MAX(0,M6-H6))</f>
        <v/>
      </c>
      <c r="O6" s="13">
        <f>IF(K6&lt;=0,"À jour",IF(N6&gt;0,"En retard","En attente"))</f>
        <v/>
      </c>
      <c r="P6" s="33">
        <f>IF(N6&gt;0,MAX(0,K6)*0.02,0)</f>
        <v/>
      </c>
      <c r="Q6" s="9" t="inlineStr">
        <is>
          <t>Aucun paiement — mise en demeure</t>
        </is>
      </c>
    </row>
    <row r="7">
      <c r="A7" s="3" t="inlineStr">
        <is>
          <t>DOS-005</t>
        </is>
      </c>
      <c r="B7" s="3" t="inlineStr">
        <is>
          <t>Léa Martin</t>
        </is>
      </c>
      <c r="C7" s="3" t="inlineStr">
        <is>
          <t>5 boulevard de Strasbourg</t>
        </is>
      </c>
      <c r="D7" s="3" t="inlineStr">
        <is>
          <t>Toulouse</t>
        </is>
      </c>
      <c r="E7" s="3" t="inlineStr">
        <is>
          <t>Meublé</t>
        </is>
      </c>
      <c r="F7" s="30" t="n">
        <v>950</v>
      </c>
      <c r="G7" s="30" t="n">
        <v>120</v>
      </c>
      <c r="H7" s="31" t="n">
        <v>46113</v>
      </c>
      <c r="I7" s="32">
        <f>F7+G7</f>
        <v/>
      </c>
      <c r="J7" s="30" t="n">
        <v>1070</v>
      </c>
      <c r="K7" s="32">
        <f>I7-J7</f>
        <v/>
      </c>
      <c r="L7" s="31" t="n">
        <v>46117</v>
      </c>
      <c r="M7" s="31" t="n">
        <v>46126</v>
      </c>
      <c r="N7" s="7">
        <f>IF(M7="",IF(TODAY()&gt;H7,MAX(0,TODAY()-H7),0),MAX(0,M7-H7))</f>
        <v/>
      </c>
      <c r="O7" s="8">
        <f>IF(K7&lt;=0,"À jour",IF(N7&gt;0,"En retard","En attente"))</f>
        <v/>
      </c>
      <c r="P7" s="32">
        <f>IF(N7&gt;0,MAX(0,K7)*0.02,0)</f>
        <v/>
      </c>
      <c r="Q7" s="9" t="inlineStr">
        <is>
          <t>Léger retard</t>
        </is>
      </c>
    </row>
    <row r="8">
      <c r="A8" s="10" t="inlineStr">
        <is>
          <t>DOS-006</t>
        </is>
      </c>
      <c r="B8" s="10" t="inlineStr">
        <is>
          <t>Nicolas Petit</t>
        </is>
      </c>
      <c r="C8" s="10" t="inlineStr">
        <is>
          <t>14 rue Saint-Michel</t>
        </is>
      </c>
      <c r="D8" s="10" t="inlineStr">
        <is>
          <t>Montpellier</t>
        </is>
      </c>
      <c r="E8" s="10" t="inlineStr">
        <is>
          <t>Nu</t>
        </is>
      </c>
      <c r="F8" s="30" t="n">
        <v>780</v>
      </c>
      <c r="G8" s="30" t="n">
        <v>80</v>
      </c>
      <c r="H8" s="31" t="n">
        <v>46117</v>
      </c>
      <c r="I8" s="33">
        <f>F8+G8</f>
        <v/>
      </c>
      <c r="J8" s="30" t="n">
        <v>400</v>
      </c>
      <c r="K8" s="33">
        <f>I8-J8</f>
        <v/>
      </c>
      <c r="L8" s="31" t="n">
        <v>46122</v>
      </c>
      <c r="M8" s="31" t="n">
        <v>46132</v>
      </c>
      <c r="N8" s="12">
        <f>IF(M8="",IF(TODAY()&gt;H8,MAX(0,TODAY()-H8),0),MAX(0,M8-H8))</f>
        <v/>
      </c>
      <c r="O8" s="13">
        <f>IF(K8&lt;=0,"À jour",IF(N8&gt;0,"En retard","En attente"))</f>
        <v/>
      </c>
      <c r="P8" s="33">
        <f>IF(N8&gt;0,MAX(0,K8)*0.02,0)</f>
        <v/>
      </c>
      <c r="Q8" s="9" t="inlineStr">
        <is>
          <t>Paiement partiel — solde attendu</t>
        </is>
      </c>
    </row>
    <row r="9">
      <c r="A9" s="3" t="inlineStr">
        <is>
          <t>DOS-007</t>
        </is>
      </c>
      <c r="B9" s="3" t="inlineStr">
        <is>
          <t>Émilie Rousseau</t>
        </is>
      </c>
      <c r="C9" s="3" t="inlineStr">
        <is>
          <t>22 rue du Faubourg</t>
        </is>
      </c>
      <c r="D9" s="3" t="inlineStr">
        <is>
          <t>Strasbourg</t>
        </is>
      </c>
      <c r="E9" s="3" t="inlineStr">
        <is>
          <t>Nu</t>
        </is>
      </c>
      <c r="F9" s="30" t="n">
        <v>650</v>
      </c>
      <c r="G9" s="30" t="n">
        <v>50</v>
      </c>
      <c r="H9" s="31" t="n">
        <v>46117</v>
      </c>
      <c r="I9" s="32">
        <f>F9+G9</f>
        <v/>
      </c>
      <c r="J9" s="30" t="n">
        <v>700</v>
      </c>
      <c r="K9" s="32">
        <f>I9-J9</f>
        <v/>
      </c>
      <c r="L9" s="31" t="n">
        <v>46120</v>
      </c>
      <c r="M9" s="31" t="n">
        <v>46119</v>
      </c>
      <c r="N9" s="7">
        <f>IF(M9="",IF(TODAY()&gt;H9,MAX(0,TODAY()-H9),0),MAX(0,M9-H9))</f>
        <v/>
      </c>
      <c r="O9" s="8">
        <f>IF(K9&lt;=0,"À jour",IF(N9&gt;0,"En retard","En attente"))</f>
        <v/>
      </c>
      <c r="P9" s="32">
        <f>IF(N9&gt;0,MAX(0,K9)*0.02,0)</f>
        <v/>
      </c>
      <c r="Q9" s="9" t="inlineStr">
        <is>
          <t>Payé avant échéance</t>
        </is>
      </c>
    </row>
    <row r="10">
      <c r="A10" s="10" t="inlineStr">
        <is>
          <t>DOS-008</t>
        </is>
      </c>
      <c r="B10" s="10" t="inlineStr">
        <is>
          <t>Antoine Garcia</t>
        </is>
      </c>
      <c r="C10" s="10" t="inlineStr">
        <is>
          <t>9 place des Halles</t>
        </is>
      </c>
      <c r="D10" s="10" t="inlineStr">
        <is>
          <t>Nantes</t>
        </is>
      </c>
      <c r="E10" s="10" t="inlineStr">
        <is>
          <t>Meublé</t>
        </is>
      </c>
      <c r="F10" s="30" t="n">
        <v>1200</v>
      </c>
      <c r="G10" s="30" t="n">
        <v>180</v>
      </c>
      <c r="H10" s="31" t="n">
        <v>46113</v>
      </c>
      <c r="I10" s="33">
        <f>F10+G10</f>
        <v/>
      </c>
      <c r="J10" s="30" t="n">
        <v>0</v>
      </c>
      <c r="K10" s="33">
        <f>I10-J10</f>
        <v/>
      </c>
      <c r="L10" s="31" t="n">
        <v>46122</v>
      </c>
      <c r="M10" s="31" t="n"/>
      <c r="N10" s="12">
        <f>IF(M10="",IF(TODAY()&gt;H10,MAX(0,TODAY()-H10),0),MAX(0,M10-H10))</f>
        <v/>
      </c>
      <c r="O10" s="13">
        <f>IF(K10&lt;=0,"À jour",IF(N10&gt;0,"En retard","En attente"))</f>
        <v/>
      </c>
      <c r="P10" s="33">
        <f>IF(N10&gt;0,MAX(0,K10)*0.02,0)</f>
        <v/>
      </c>
      <c r="Q10" s="9" t="inlineStr">
        <is>
          <t>En attente — accord de délai</t>
        </is>
      </c>
    </row>
    <row r="11">
      <c r="A11" s="3" t="inlineStr">
        <is>
          <t>DOS-009</t>
        </is>
      </c>
      <c r="B11" s="3" t="inlineStr">
        <is>
          <t>Camille Durand</t>
        </is>
      </c>
      <c r="C11" s="3" t="inlineStr">
        <is>
          <t>12 rue de la République</t>
        </is>
      </c>
      <c r="D11" s="3" t="inlineStr">
        <is>
          <t>Lyon</t>
        </is>
      </c>
      <c r="E11" s="3" t="inlineStr">
        <is>
          <t>Nu</t>
        </is>
      </c>
      <c r="F11" s="30" t="n">
        <v>780</v>
      </c>
      <c r="G11" s="30" t="n">
        <v>80</v>
      </c>
      <c r="H11" s="31" t="n">
        <v>46147</v>
      </c>
      <c r="I11" s="32">
        <f>F11+G11</f>
        <v/>
      </c>
      <c r="J11" s="30" t="n">
        <v>0</v>
      </c>
      <c r="K11" s="32">
        <f>I11-J11</f>
        <v/>
      </c>
      <c r="L11" s="31" t="n">
        <v>46152</v>
      </c>
      <c r="M11" s="31" t="n"/>
      <c r="N11" s="7">
        <f>IF(M11="",IF(TODAY()&gt;H11,MAX(0,TODAY()-H11),0),MAX(0,M11-H11))</f>
        <v/>
      </c>
      <c r="O11" s="8">
        <f>IF(K11&lt;=0,"À jour",IF(N11&gt;0,"En retard","En attente"))</f>
        <v/>
      </c>
      <c r="P11" s="32">
        <f>IF(N11&gt;0,MAX(0,K11)*0.02,0)</f>
        <v/>
      </c>
      <c r="Q11" s="9" t="inlineStr">
        <is>
          <t>Mai 2026 — non encore échu</t>
        </is>
      </c>
    </row>
    <row r="12">
      <c r="A12" s="10" t="inlineStr">
        <is>
          <t>DOS-010</t>
        </is>
      </c>
      <c r="B12" s="10" t="inlineStr">
        <is>
          <t>Julien Moreau</t>
        </is>
      </c>
      <c r="C12" s="10" t="inlineStr">
        <is>
          <t>8 avenue Victor Hugo</t>
        </is>
      </c>
      <c r="D12" s="10" t="inlineStr">
        <is>
          <t>Paris</t>
        </is>
      </c>
      <c r="E12" s="10" t="inlineStr">
        <is>
          <t>Meublé</t>
        </is>
      </c>
      <c r="F12" s="30" t="n">
        <v>1200</v>
      </c>
      <c r="G12" s="30" t="n">
        <v>150</v>
      </c>
      <c r="H12" s="31" t="n">
        <v>46143</v>
      </c>
      <c r="I12" s="33">
        <f>F12+G12</f>
        <v/>
      </c>
      <c r="J12" s="30" t="n">
        <v>1350</v>
      </c>
      <c r="K12" s="33">
        <f>I12-J12</f>
        <v/>
      </c>
      <c r="L12" s="31" t="n">
        <v>46147</v>
      </c>
      <c r="M12" s="31" t="n">
        <v>46145</v>
      </c>
      <c r="N12" s="12">
        <f>IF(M12="",IF(TODAY()&gt;H12,MAX(0,TODAY()-H12),0),MAX(0,M12-H12))</f>
        <v/>
      </c>
      <c r="O12" s="13">
        <f>IF(K12&lt;=0,"À jour",IF(N12&gt;0,"En retard","En attente"))</f>
        <v/>
      </c>
      <c r="P12" s="33">
        <f>IF(N12&gt;0,MAX(0,K12)*0.02,0)</f>
        <v/>
      </c>
      <c r="Q12" s="9" t="inlineStr">
        <is>
          <t>Payé en avance</t>
        </is>
      </c>
    </row>
  </sheetData>
  <mergeCells count="1">
    <mergeCell ref="A1:Q1"/>
  </mergeCells>
  <conditionalFormatting sqref="O3:O12">
    <cfRule type="expression" priority="1" dxfId="0" stopIfTrue="0">
      <formula>O3="À jour"</formula>
    </cfRule>
    <cfRule type="expression" priority="2" dxfId="1" stopIfTrue="0">
      <formula>O3="En retard"</formula>
    </cfRule>
    <cfRule type="expression" priority="3" dxfId="2" stopIfTrue="0">
      <formula>O3="En attente"</formula>
    </cfRule>
  </conditionalFormatting>
  <conditionalFormatting sqref="K3:K12">
    <cfRule type="expression" priority="4" dxfId="0" stopIfTrue="0">
      <formula>K3&lt;=0</formula>
    </cfRule>
    <cfRule type="expression" priority="5" dxfId="1" stopIfTrue="0">
      <formula>K3&gt;0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2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0" customWidth="1" min="4" max="4"/>
    <col width="20" customWidth="1" min="5" max="5"/>
  </cols>
  <sheetData>
    <row r="1" ht="30" customHeight="1">
      <c r="A1" s="1" t="inlineStr">
        <is>
          <t>TABLEAU DE BORD — RECOUVREMENT DES LOYERS 2026</t>
        </is>
      </c>
    </row>
    <row r="2"/>
    <row r="3" ht="18" customHeight="1">
      <c r="A3" s="14" t="inlineStr">
        <is>
          <t>INDICATEURS CLÉS</t>
        </is>
      </c>
    </row>
    <row r="4" ht="20" customHeight="1">
      <c r="A4" s="15" t="inlineStr">
        <is>
          <t>Nombre de dossiers</t>
        </is>
      </c>
      <c r="B4" s="16">
        <f>COUNTA(Échéancier!A3:A12)</f>
        <v/>
      </c>
    </row>
    <row r="5" ht="20" customHeight="1">
      <c r="A5" s="15" t="inlineStr">
        <is>
          <t>Loyers en retard</t>
        </is>
      </c>
      <c r="B5" s="16">
        <f>COUNTIF(Échéancier!O3:O12,"En retard")</f>
        <v/>
      </c>
    </row>
    <row r="6" ht="20" customHeight="1">
      <c r="A6" s="15" t="inlineStr">
        <is>
          <t>Dossiers en attente</t>
        </is>
      </c>
      <c r="B6" s="16">
        <f>COUNTIF(Échéancier!O3:O12,"En attente")</f>
        <v/>
      </c>
    </row>
    <row r="7" ht="20" customHeight="1">
      <c r="A7" s="15" t="inlineStr">
        <is>
          <t>Dossiers à jour</t>
        </is>
      </c>
      <c r="B7" s="16">
        <f>COUNTIF(Échéancier!O3:O12,"À jour")</f>
        <v/>
      </c>
    </row>
    <row r="8" ht="20" customHeight="1">
      <c r="A8" s="15" t="inlineStr">
        <is>
          <t>Total montant dû (€)</t>
        </is>
      </c>
      <c r="B8" s="34">
        <f>SUM(Échéancier!I3:I12)</f>
        <v/>
      </c>
    </row>
    <row r="9" ht="20" customHeight="1">
      <c r="A9" s="15" t="inlineStr">
        <is>
          <t>Total payé (€)</t>
        </is>
      </c>
      <c r="B9" s="34">
        <f>SUM(Échéancier!J3:J12)</f>
        <v/>
      </c>
    </row>
    <row r="10" ht="20" customHeight="1">
      <c r="A10" s="15" t="inlineStr">
        <is>
          <t>Solde total restant (€)</t>
        </is>
      </c>
      <c r="B10" s="34">
        <f>SUM(Échéancier!K3:K12)</f>
        <v/>
      </c>
    </row>
    <row r="11" ht="20" customHeight="1">
      <c r="A11" s="15" t="inlineStr">
        <is>
          <t>Taux de recouvrement</t>
        </is>
      </c>
      <c r="B11" s="18">
        <f>IFERROR(SUM(Échéancier!J3:J12)/SUM(Échéancier!I3:I12),0)</f>
        <v/>
      </c>
    </row>
    <row r="12" ht="20" customHeight="1">
      <c r="A12" s="15" t="inlineStr">
        <is>
          <t>Retard moyen (jours)</t>
        </is>
      </c>
      <c r="B12" s="35">
        <f>IFERROR(AVERAGE(Échéancier!N3:N12),0)</f>
        <v/>
      </c>
    </row>
    <row r="13" ht="20" customHeight="1">
      <c r="A13" s="15" t="inlineStr">
        <is>
          <t>Total pénalités (€)</t>
        </is>
      </c>
      <c r="B13" s="34">
        <f>SUM(Échéancier!P3:P12)</f>
        <v/>
      </c>
    </row>
    <row r="14"/>
    <row r="15">
      <c r="A15" s="20" t="inlineStr"/>
    </row>
    <row r="16">
      <c r="A16" s="14" t="inlineStr">
        <is>
          <t>RÉPARTITION PAR STATUT</t>
        </is>
      </c>
    </row>
    <row r="17">
      <c r="A17" s="2" t="inlineStr">
        <is>
          <t>Statut</t>
        </is>
      </c>
      <c r="B17" s="2" t="inlineStr">
        <is>
          <t>Nombre de dossiers</t>
        </is>
      </c>
      <c r="C17" s="2" t="inlineStr">
        <is>
          <t>Montant dû (€)</t>
        </is>
      </c>
      <c r="D17" s="2" t="inlineStr">
        <is>
          <t>Montant payé (€)</t>
        </is>
      </c>
      <c r="E17" s="2" t="inlineStr">
        <is>
          <t>Solde (€)</t>
        </is>
      </c>
    </row>
    <row r="18">
      <c r="A18" s="8" t="inlineStr">
        <is>
          <t>À jour</t>
        </is>
      </c>
      <c r="B18" s="8">
        <f>COUNTIF(Échéancier!O3:O12,"À jour")</f>
        <v/>
      </c>
      <c r="C18" s="32">
        <f>SUMIF(Échéancier!O3:O12,"À jour",Échéancier!I3:I12)</f>
        <v/>
      </c>
      <c r="D18" s="32">
        <f>SUMIF(Échéancier!O3:O12,"À jour",Échéancier!J3:J12)</f>
        <v/>
      </c>
      <c r="E18" s="32">
        <f>SUMIF(Échéancier!O3:O12,"À jour",Échéancier!K3:K12)</f>
        <v/>
      </c>
    </row>
    <row r="19">
      <c r="A19" s="13" t="inlineStr">
        <is>
          <t>En retard</t>
        </is>
      </c>
      <c r="B19" s="13">
        <f>COUNTIF(Échéancier!O3:O12,"En retard")</f>
        <v/>
      </c>
      <c r="C19" s="33">
        <f>SUMIF(Échéancier!O3:O12,"En retard",Échéancier!I3:I12)</f>
        <v/>
      </c>
      <c r="D19" s="33">
        <f>SUMIF(Échéancier!O3:O12,"En retard",Échéancier!J3:J12)</f>
        <v/>
      </c>
      <c r="E19" s="33">
        <f>SUMIF(Échéancier!O3:O12,"En retard",Échéancier!K3:K12)</f>
        <v/>
      </c>
    </row>
    <row r="20">
      <c r="A20" s="8" t="inlineStr">
        <is>
          <t>En attente</t>
        </is>
      </c>
      <c r="B20" s="8">
        <f>COUNTIF(Échéancier!O3:O12,"En attente")</f>
        <v/>
      </c>
      <c r="C20" s="32">
        <f>SUMIF(Échéancier!O3:O12,"En attente",Échéancier!I3:I12)</f>
        <v/>
      </c>
      <c r="D20" s="32">
        <f>SUMIF(Échéancier!O3:O12,"En attente",Échéancier!J3:J12)</f>
        <v/>
      </c>
      <c r="E20" s="32">
        <f>SUMIF(Échéancier!O3:O12,"En attente",Échéancier!K3:K12)</f>
        <v/>
      </c>
    </row>
    <row r="21">
      <c r="A21" s="21" t="inlineStr">
        <is>
          <t>TOTAL</t>
        </is>
      </c>
      <c r="B21" s="22">
        <f>SUM(B18:B20)</f>
        <v/>
      </c>
      <c r="C21" s="36">
        <f>SUM(C18:C20)</f>
        <v/>
      </c>
      <c r="D21" s="36">
        <f>SUM(D18:D20)</f>
        <v/>
      </c>
      <c r="E21" s="36">
        <f>SUM(E18:E20)</f>
        <v/>
      </c>
    </row>
    <row r="22"/>
    <row r="23">
      <c r="A23" s="14" t="inlineStr">
        <is>
          <t>RÉCAPITULATIF PAR LOCATAIRE</t>
        </is>
      </c>
    </row>
    <row r="24">
      <c r="A24" s="2" t="inlineStr">
        <is>
          <t>Locataire</t>
        </is>
      </c>
      <c r="B24" s="2" t="inlineStr">
        <is>
          <t>Nb d'échéances</t>
        </is>
      </c>
      <c r="C24" s="2" t="inlineStr">
        <is>
          <t>Total dû (€)</t>
        </is>
      </c>
      <c r="D24" s="2" t="inlineStr">
        <is>
          <t>Total payé (€)</t>
        </is>
      </c>
      <c r="E24" s="2" t="inlineStr">
        <is>
          <t>Solde (€)</t>
        </is>
      </c>
      <c r="F24" s="2" t="inlineStr">
        <is>
          <t>Retard moyen (j)</t>
        </is>
      </c>
      <c r="G24" s="2" t="inlineStr">
        <is>
          <t>Statut majoritaire</t>
        </is>
      </c>
    </row>
    <row r="25">
      <c r="A25" s="3" t="inlineStr">
        <is>
          <t>Camille Durand</t>
        </is>
      </c>
      <c r="B25" s="24">
        <f>COUNTIF(Échéancier!B3:B12,"Camille Durand")</f>
        <v/>
      </c>
      <c r="C25" s="32">
        <f>SUMIF(Échéancier!B3:B12,"Camille Durand",Échéancier!I3:I12)</f>
        <v/>
      </c>
      <c r="D25" s="32">
        <f>SUMIF(Échéancier!B3:B12,"Camille Durand",Échéancier!J3:J12)</f>
        <v/>
      </c>
      <c r="E25" s="32">
        <f>SUMIF(Échéancier!B3:B12,"Camille Durand",Échéancier!K3:K12)</f>
        <v/>
      </c>
      <c r="F25" s="37">
        <f>IFERROR(AVERAGEIF(Échéancier!B3:B12,"Camille Durand",Échéancier!N3:N12),0)</f>
        <v/>
      </c>
      <c r="G25" s="3">
        <f>IFERROR(VLOOKUP("Camille Durand",Échéancier!B3:O12,14,0),"")</f>
        <v/>
      </c>
    </row>
    <row r="26">
      <c r="A26" s="10" t="inlineStr">
        <is>
          <t>Julien Moreau</t>
        </is>
      </c>
      <c r="B26" s="26">
        <f>COUNTIF(Échéancier!B3:B12,"Julien Moreau")</f>
        <v/>
      </c>
      <c r="C26" s="33">
        <f>SUMIF(Échéancier!B3:B12,"Julien Moreau",Échéancier!I3:I12)</f>
        <v/>
      </c>
      <c r="D26" s="33">
        <f>SUMIF(Échéancier!B3:B12,"Julien Moreau",Échéancier!J3:J12)</f>
        <v/>
      </c>
      <c r="E26" s="33">
        <f>SUMIF(Échéancier!B3:B12,"Julien Moreau",Échéancier!K3:K12)</f>
        <v/>
      </c>
      <c r="F26" s="38">
        <f>IFERROR(AVERAGEIF(Échéancier!B3:B12,"Julien Moreau",Échéancier!N3:N12),0)</f>
        <v/>
      </c>
      <c r="G26" s="10">
        <f>IFERROR(VLOOKUP("Julien Moreau",Échéancier!B3:O12,14,0),"")</f>
        <v/>
      </c>
    </row>
    <row r="27">
      <c r="A27" s="3" t="inlineStr">
        <is>
          <t>Sophie Lefèvre</t>
        </is>
      </c>
      <c r="B27" s="24">
        <f>COUNTIF(Échéancier!B3:B12,"Sophie Lefèvre")</f>
        <v/>
      </c>
      <c r="C27" s="32">
        <f>SUMIF(Échéancier!B3:B12,"Sophie Lefèvre",Échéancier!I3:I12)</f>
        <v/>
      </c>
      <c r="D27" s="32">
        <f>SUMIF(Échéancier!B3:B12,"Sophie Lefèvre",Échéancier!J3:J12)</f>
        <v/>
      </c>
      <c r="E27" s="32">
        <f>SUMIF(Échéancier!B3:B12,"Sophie Lefèvre",Échéancier!K3:K12)</f>
        <v/>
      </c>
      <c r="F27" s="37">
        <f>IFERROR(AVERAGEIF(Échéancier!B3:B12,"Sophie Lefèvre",Échéancier!N3:N12),0)</f>
        <v/>
      </c>
      <c r="G27" s="3">
        <f>IFERROR(VLOOKUP("Sophie Lefèvre",Échéancier!B3:O12,14,0),"")</f>
        <v/>
      </c>
    </row>
    <row r="28">
      <c r="A28" s="10" t="inlineStr">
        <is>
          <t>Thomas Bernard</t>
        </is>
      </c>
      <c r="B28" s="26">
        <f>COUNTIF(Échéancier!B3:B12,"Thomas Bernard")</f>
        <v/>
      </c>
      <c r="C28" s="33">
        <f>SUMIF(Échéancier!B3:B12,"Thomas Bernard",Échéancier!I3:I12)</f>
        <v/>
      </c>
      <c r="D28" s="33">
        <f>SUMIF(Échéancier!B3:B12,"Thomas Bernard",Échéancier!J3:J12)</f>
        <v/>
      </c>
      <c r="E28" s="33">
        <f>SUMIF(Échéancier!B3:B12,"Thomas Bernard",Échéancier!K3:K12)</f>
        <v/>
      </c>
      <c r="F28" s="38">
        <f>IFERROR(AVERAGEIF(Échéancier!B3:B12,"Thomas Bernard",Échéancier!N3:N12),0)</f>
        <v/>
      </c>
      <c r="G28" s="10">
        <f>IFERROR(VLOOKUP("Thomas Bernard",Échéancier!B3:O12,14,0),"")</f>
        <v/>
      </c>
    </row>
    <row r="29">
      <c r="A29" s="3" t="inlineStr">
        <is>
          <t>Léa Martin</t>
        </is>
      </c>
      <c r="B29" s="24">
        <f>COUNTIF(Échéancier!B3:B12,"Léa Martin")</f>
        <v/>
      </c>
      <c r="C29" s="32">
        <f>SUMIF(Échéancier!B3:B12,"Léa Martin",Échéancier!I3:I12)</f>
        <v/>
      </c>
      <c r="D29" s="32">
        <f>SUMIF(Échéancier!B3:B12,"Léa Martin",Échéancier!J3:J12)</f>
        <v/>
      </c>
      <c r="E29" s="32">
        <f>SUMIF(Échéancier!B3:B12,"Léa Martin",Échéancier!K3:K12)</f>
        <v/>
      </c>
      <c r="F29" s="37">
        <f>IFERROR(AVERAGEIF(Échéancier!B3:B12,"Léa Martin",Échéancier!N3:N12),0)</f>
        <v/>
      </c>
      <c r="G29" s="3">
        <f>IFERROR(VLOOKUP("Léa Martin",Échéancier!B3:O12,14,0),"")</f>
        <v/>
      </c>
    </row>
    <row r="30">
      <c r="A30" s="10" t="inlineStr">
        <is>
          <t>Nicolas Petit</t>
        </is>
      </c>
      <c r="B30" s="26">
        <f>COUNTIF(Échéancier!B3:B12,"Nicolas Petit")</f>
        <v/>
      </c>
      <c r="C30" s="33">
        <f>SUMIF(Échéancier!B3:B12,"Nicolas Petit",Échéancier!I3:I12)</f>
        <v/>
      </c>
      <c r="D30" s="33">
        <f>SUMIF(Échéancier!B3:B12,"Nicolas Petit",Échéancier!J3:J12)</f>
        <v/>
      </c>
      <c r="E30" s="33">
        <f>SUMIF(Échéancier!B3:B12,"Nicolas Petit",Échéancier!K3:K12)</f>
        <v/>
      </c>
      <c r="F30" s="38">
        <f>IFERROR(AVERAGEIF(Échéancier!B3:B12,"Nicolas Petit",Échéancier!N3:N12),0)</f>
        <v/>
      </c>
      <c r="G30" s="10">
        <f>IFERROR(VLOOKUP("Nicolas Petit",Échéancier!B3:O12,14,0),"")</f>
        <v/>
      </c>
    </row>
    <row r="31">
      <c r="A31" s="3" t="inlineStr">
        <is>
          <t>Émilie Rousseau</t>
        </is>
      </c>
      <c r="B31" s="24">
        <f>COUNTIF(Échéancier!B3:B12,"Émilie Rousseau")</f>
        <v/>
      </c>
      <c r="C31" s="32">
        <f>SUMIF(Échéancier!B3:B12,"Émilie Rousseau",Échéancier!I3:I12)</f>
        <v/>
      </c>
      <c r="D31" s="32">
        <f>SUMIF(Échéancier!B3:B12,"Émilie Rousseau",Échéancier!J3:J12)</f>
        <v/>
      </c>
      <c r="E31" s="32">
        <f>SUMIF(Échéancier!B3:B12,"Émilie Rousseau",Échéancier!K3:K12)</f>
        <v/>
      </c>
      <c r="F31" s="37">
        <f>IFERROR(AVERAGEIF(Échéancier!B3:B12,"Émilie Rousseau",Échéancier!N3:N12),0)</f>
        <v/>
      </c>
      <c r="G31" s="3">
        <f>IFERROR(VLOOKUP("Émilie Rousseau",Échéancier!B3:O12,14,0),"")</f>
        <v/>
      </c>
    </row>
    <row r="32">
      <c r="A32" s="10" t="inlineStr">
        <is>
          <t>Antoine Garcia</t>
        </is>
      </c>
      <c r="B32" s="26">
        <f>COUNTIF(Échéancier!B3:B12,"Antoine Garcia")</f>
        <v/>
      </c>
      <c r="C32" s="33">
        <f>SUMIF(Échéancier!B3:B12,"Antoine Garcia",Échéancier!I3:I12)</f>
        <v/>
      </c>
      <c r="D32" s="33">
        <f>SUMIF(Échéancier!B3:B12,"Antoine Garcia",Échéancier!J3:J12)</f>
        <v/>
      </c>
      <c r="E32" s="33">
        <f>SUMIF(Échéancier!B3:B12,"Antoine Garcia",Échéancier!K3:K12)</f>
        <v/>
      </c>
      <c r="F32" s="38">
        <f>IFERROR(AVERAGEIF(Échéancier!B3:B12,"Antoine Garcia",Échéancier!N3:N12),0)</f>
        <v/>
      </c>
      <c r="G32" s="10">
        <f>IFERROR(VLOOKUP("Antoine Garcia",Échéancier!B3:O12,14,0),"")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6"/>
  <sheetViews>
    <sheetView showGridLines="0" workbookViewId="0">
      <selection activeCell="A1" sqref="A1"/>
    </sheetView>
  </sheetViews>
  <sheetFormatPr baseColWidth="8" defaultRowHeight="15"/>
  <cols>
    <col width="100" customWidth="1" min="1" max="1"/>
    <col width="20" customWidth="1" min="2" max="2"/>
    <col width="20" customWidth="1" min="3" max="3"/>
    <col width="20" customWidth="1" min="4" max="4"/>
  </cols>
  <sheetData>
    <row r="1" ht="30" customHeight="1">
      <c r="A1" s="1" t="inlineStr">
        <is>
          <t>MODE D'EMPLOI — ÉCHÉANCIER LOYERS EN RETARD</t>
        </is>
      </c>
    </row>
    <row r="2" ht="22" customHeight="1">
      <c r="A2" s="28" t="inlineStr">
        <is>
          <t>PRÉSENTATION DU CLASSEUR</t>
        </is>
      </c>
    </row>
    <row r="3" ht="18" customHeight="1">
      <c r="A3" s="29" t="inlineStr">
        <is>
          <t>Ce classeur est composé de 3 feuilles :</t>
        </is>
      </c>
    </row>
    <row r="4" ht="18" customHeight="1">
      <c r="A4" s="29" t="inlineStr">
        <is>
          <t xml:space="preserve">  • Feuille « Échéancier » : saisie et suivi détaillé de chaque loyer impayé ou en retard.</t>
        </is>
      </c>
    </row>
    <row r="5" ht="18" customHeight="1">
      <c r="A5" s="29" t="inlineStr">
        <is>
          <t xml:space="preserve">  • Feuille « Synthèse » : tableau de bord avec KPI, répartition par statut et graphiques.</t>
        </is>
      </c>
    </row>
    <row r="6" ht="18" customHeight="1">
      <c r="A6" s="29" t="inlineStr">
        <is>
          <t xml:space="preserve">  • Feuille « Instructions » : cette aide à la saisie.</t>
        </is>
      </c>
    </row>
    <row r="7"/>
    <row r="8" ht="22" customHeight="1">
      <c r="A8" s="28" t="inlineStr">
        <is>
          <t>RÈGLES DE SAISIE</t>
        </is>
      </c>
    </row>
    <row r="9" ht="18" customHeight="1">
      <c r="A9" s="29" t="inlineStr">
        <is>
          <t>Colonnes à renseigner manuellement (fond jaune) :</t>
        </is>
      </c>
    </row>
    <row r="10" ht="18" customHeight="1">
      <c r="A10" s="29" t="inlineStr">
        <is>
          <t xml:space="preserve">  • Loyer (€) et Charges (€) : montants mensuels du bail en vigueur.</t>
        </is>
      </c>
    </row>
    <row r="11" ht="18" customHeight="1">
      <c r="A11" s="29" t="inlineStr">
        <is>
          <t xml:space="preserve">  • Échéance initiale : date contractuelle de paiement du loyer (format JJ/MM/AAAA).</t>
        </is>
      </c>
    </row>
    <row r="12" ht="18" customHeight="1">
      <c r="A12" s="29" t="inlineStr">
        <is>
          <t xml:space="preserve">  • Montant payé (€) : somme effectivement reçue (0 si aucun paiement).</t>
        </is>
      </c>
    </row>
    <row r="13" ht="18" customHeight="1">
      <c r="A13" s="29" t="inlineStr">
        <is>
          <t xml:space="preserve">  • Date prévisionnelle : date convenue avec le locataire pour le règlement.</t>
        </is>
      </c>
    </row>
    <row r="14" ht="18" customHeight="1">
      <c r="A14" s="29" t="inlineStr">
        <is>
          <t xml:space="preserve">  • Date de paiement réel : laisser vide si le paiement n'a pas encore eu lieu.</t>
        </is>
      </c>
    </row>
    <row r="15" ht="18" customHeight="1">
      <c r="A15" s="29" t="inlineStr">
        <is>
          <t xml:space="preserve">  • Observations : notes libres (relance, accord, contentieux, etc.).</t>
        </is>
      </c>
    </row>
    <row r="16"/>
    <row r="17" ht="22" customHeight="1">
      <c r="A17" s="28" t="inlineStr">
        <is>
          <t>COLONNES CALCULÉES AUTOMATIQUEMENT</t>
        </is>
      </c>
    </row>
    <row r="18" ht="18" customHeight="1">
      <c r="A18" s="29" t="inlineStr">
        <is>
          <t xml:space="preserve">  • Montant dû (€) = Loyer + Charges.</t>
        </is>
      </c>
    </row>
    <row r="19" ht="18" customHeight="1">
      <c r="A19" s="29" t="inlineStr">
        <is>
          <t xml:space="preserve">  • Solde restant (€) = Montant dû − Montant payé.</t>
        </is>
      </c>
    </row>
    <row r="20" ht="18" customHeight="1">
      <c r="A20" s="29" t="inlineStr">
        <is>
          <t xml:space="preserve">  • Jours de retard = MAX(0 ; Date réelle − Échéance initiale). Si date réelle vide, calcul vs. aujourd'hui.</t>
        </is>
      </c>
    </row>
    <row r="21" ht="18" customHeight="1">
      <c r="A21" s="29" t="inlineStr">
        <is>
          <t xml:space="preserve">  • Statut = « À jour » si solde ≤ 0 ; « En retard » si jours retard &gt; 0 ; « En attente » sinon.</t>
        </is>
      </c>
    </row>
    <row r="22" ht="18" customHeight="1">
      <c r="A22" s="29" t="inlineStr">
        <is>
          <t xml:space="preserve">  • Pénalité (€) = 2 % du solde restant si jours de retard &gt; 0.</t>
        </is>
      </c>
    </row>
    <row r="23"/>
    <row r="24" ht="22" customHeight="1">
      <c r="A24" s="28" t="inlineStr">
        <is>
          <t>CODES COULEUR DU STATUT</t>
        </is>
      </c>
    </row>
    <row r="25" ht="18" customHeight="1">
      <c r="A25" s="29" t="inlineStr">
        <is>
          <t xml:space="preserve">  • Vert  : À jour — loyer intégralement réglé.</t>
        </is>
      </c>
    </row>
    <row r="26" ht="18" customHeight="1">
      <c r="A26" s="29" t="inlineStr">
        <is>
          <t xml:space="preserve">  • Rouge : En retard — paiement partiel ou nul après échéance.</t>
        </is>
      </c>
    </row>
    <row r="27" ht="18" customHeight="1">
      <c r="A27" s="29" t="inlineStr">
        <is>
          <t xml:space="preserve">  • Jaune : En attente — aucun paiement reçu, délai non encore dépassé.</t>
        </is>
      </c>
    </row>
    <row r="28"/>
    <row r="29" ht="22" customHeight="1">
      <c r="A29" s="28" t="inlineStr">
        <is>
          <t>CADRE LÉGAL (baux d'habitation)</t>
        </is>
      </c>
    </row>
    <row r="30" ht="18" customHeight="1">
      <c r="A30" s="29" t="inlineStr">
        <is>
          <t xml:space="preserve">  • Les locations à usage d'habitation (nu et meublé) sont régies par la loi n° 89-462 du 6 juillet 1989.</t>
        </is>
      </c>
    </row>
    <row r="31" ht="18" customHeight="1">
      <c r="A31" s="29" t="inlineStr">
        <is>
          <t xml:space="preserve">  • Le dépôt de garantie est limité à 1 mois de loyer hors charges (bail nu) ou 2 mois (meublé).</t>
        </is>
      </c>
    </row>
    <row r="32" ht="18" customHeight="1">
      <c r="A32" s="29" t="inlineStr">
        <is>
          <t xml:space="preserve">  • En cas de retard de paiement, le bailleur peut envoyer une mise en demeure par LRAR.</t>
        </is>
      </c>
    </row>
    <row r="33" ht="18" customHeight="1">
      <c r="A33" s="29" t="inlineStr">
        <is>
          <t xml:space="preserve">  • L'indemnité conventionnelle de retard (clause pénale) est fixée librement dans le bail, plafonnée par le juge.</t>
        </is>
      </c>
    </row>
    <row r="34"/>
    <row r="35" ht="22" customHeight="1">
      <c r="A35" s="28" t="inlineStr">
        <is>
          <t>CONSEILS DE RECOUVREMENT AMIABLE</t>
        </is>
      </c>
    </row>
    <row r="36" ht="18" customHeight="1">
      <c r="A36" s="29" t="inlineStr">
        <is>
          <t xml:space="preserve">  1. Rappel téléphonique dès le lendemain de l'échéance.</t>
        </is>
      </c>
    </row>
    <row r="37" ht="18" customHeight="1">
      <c r="A37" s="29" t="inlineStr">
        <is>
          <t xml:space="preserve">  2. Courrier de relance simple sous 8 jours.</t>
        </is>
      </c>
    </row>
    <row r="38" ht="18" customHeight="1">
      <c r="A38" s="29" t="inlineStr">
        <is>
          <t xml:space="preserve">  3. Lettre de mise en demeure par LRAR sous 15 jours.</t>
        </is>
      </c>
    </row>
    <row r="39" ht="18" customHeight="1">
      <c r="A39" s="29" t="inlineStr">
        <is>
          <t xml:space="preserve">  4. Commandement de payer par huissier (acte extrajudiciaire) en cas d'échec.</t>
        </is>
      </c>
    </row>
    <row r="40" ht="18" customHeight="1">
      <c r="A40" s="29" t="inlineStr">
        <is>
          <t xml:space="preserve">  5. Saisine du tribunal judiciaire (procédure d'expulsion) en dernier recours.</t>
        </is>
      </c>
    </row>
    <row r="41" ht="18" customHeight="1">
      <c r="A41" s="29" t="inlineStr">
        <is>
          <t xml:space="preserve">  6. Penser à activer la garantie Visale ou l'assurance loyers impayés (GLI) si souscrite.</t>
        </is>
      </c>
    </row>
    <row r="42"/>
    <row r="43" ht="22" customHeight="1">
      <c r="A43" s="28" t="inlineStr">
        <is>
          <t>MISE À JOUR</t>
        </is>
      </c>
    </row>
    <row r="44" ht="18" customHeight="1">
      <c r="A44" s="29" t="inlineStr">
        <is>
          <t xml:space="preserve">  • Mettez à jour la feuille Échéancier après chaque encaissement ou relance.</t>
        </is>
      </c>
    </row>
    <row r="45" ht="18" customHeight="1">
      <c r="A45" s="29" t="inlineStr">
        <is>
          <t xml:space="preserve">  • La Synthèse se recalcule automatiquement.</t>
        </is>
      </c>
    </row>
    <row r="46" ht="18" customHeight="1">
      <c r="A46" s="29" t="inlineStr">
        <is>
          <t xml:space="preserve">  • Archivez une copie mensuelle du fichier pour traçabilité.</t>
        </is>
      </c>
    </row>
  </sheetData>
  <mergeCells count="40">
    <mergeCell ref="A1:D1"/>
    <mergeCell ref="A2:D2"/>
    <mergeCell ref="A3:D3"/>
    <mergeCell ref="A4:D4"/>
    <mergeCell ref="A5:D5"/>
    <mergeCell ref="A6:D6"/>
    <mergeCell ref="A8:D8"/>
    <mergeCell ref="A9:D9"/>
    <mergeCell ref="A10:D10"/>
    <mergeCell ref="A11:D11"/>
    <mergeCell ref="A12:D12"/>
    <mergeCell ref="A13:D13"/>
    <mergeCell ref="A14:D14"/>
    <mergeCell ref="A15:D15"/>
    <mergeCell ref="A17:D17"/>
    <mergeCell ref="A18:D18"/>
    <mergeCell ref="A19:D19"/>
    <mergeCell ref="A20:D20"/>
    <mergeCell ref="A21:D21"/>
    <mergeCell ref="A22:D22"/>
    <mergeCell ref="A24:D24"/>
    <mergeCell ref="A25:D25"/>
    <mergeCell ref="A26:D26"/>
    <mergeCell ref="A27:D27"/>
    <mergeCell ref="A29:D29"/>
    <mergeCell ref="A30:D30"/>
    <mergeCell ref="A31:D31"/>
    <mergeCell ref="A32:D32"/>
    <mergeCell ref="A33:D33"/>
    <mergeCell ref="A35:D35"/>
    <mergeCell ref="A36:D36"/>
    <mergeCell ref="A37:D37"/>
    <mergeCell ref="A38:D38"/>
    <mergeCell ref="A39:D39"/>
    <mergeCell ref="A40:D40"/>
    <mergeCell ref="A41:D41"/>
    <mergeCell ref="A43:D43"/>
    <mergeCell ref="A44:D44"/>
    <mergeCell ref="A45:D45"/>
    <mergeCell ref="A46:D4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2026-06-19T14:27:42Z</dcterms:created>
  <dcterms:modified xmlns:dcterms="http://purl.org/dc/terms/" xmlns:xsi="http://www.w3.org/2001/XMLSchema-instance" xsi:type="dcterms:W3CDTF">2026-06-19T14:27:42Z</dcterms:modified>
</cp:coreProperties>
</file>