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baux" sheetId="1" state="visible" r:id="rId1"/>
    <sheet xmlns:r="http://schemas.openxmlformats.org/officeDocument/2006/relationships" name="Barèmes_Référenc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_d_emploi" sheetId="4" state="visible" r:id="rId4"/>
  </sheets>
  <definedNames>
    <definedName name="_xlnm._FilterDatabase" localSheetId="0" hidden="1">'Données_baux'!$A$1:$X$11</definedName>
    <definedName name="_xlnm._FilterDatabase" localSheetId="1" hidden="1">'Barèmes_Références'!$A$1:$K$11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DD/MM/YYYY"/>
    <numFmt numFmtId="166" formatCode="# ##0,00 €"/>
    <numFmt numFmtId="167" formatCode="# ##0.00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  <color rgb="00FFFFFF"/>
      <sz val="10"/>
    </font>
    <font>
      <b val="1"/>
      <sz val="10"/>
    </font>
    <font>
      <b val="1"/>
      <color rgb="001E293B"/>
      <sz val="11"/>
    </font>
    <font>
      <b val="1"/>
      <color rgb="0016A34A"/>
    </font>
    <font>
      <b val="1"/>
      <color rgb="00DC2626"/>
    </font>
    <font>
      <b val="1"/>
      <color rgb="001D4ED8"/>
    </font>
    <font>
      <b val="1"/>
      <color rgb="006B7280"/>
    </font>
    <font>
      <sz val="10"/>
    </font>
    <font>
      <b val="1"/>
      <color rgb="001E293B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DBEAF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" fontId="5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0" fontId="5" fillId="4" borderId="1" applyAlignment="1" pivotButton="0" quotePrefix="0" xfId="0">
      <alignment horizontal="center" vertical="center" wrapText="1"/>
    </xf>
    <xf numFmtId="166" fontId="5" fillId="4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6" fillId="7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FFFFFF"/>
        <sz val="10"/>
      </font>
      <fill>
        <patternFill patternType="solid">
          <fgColor rgb="0016A34A"/>
        </patternFill>
      </fill>
    </dxf>
    <dxf>
      <font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Baux : Conforme vs Non conforme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'Synthèse'!$A$14:$A$15</f>
            </numRef>
          </cat>
          <val>
            <numRef>
              <f>'Synthèse'!$B$14:$B$15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baux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zone encadrée / hors zone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D4ED8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1D5DB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'Synthèse'!$A$16:$A$17</f>
            </numRef>
          </cat>
          <val>
            <numRef>
              <f>'Synthèse'!$B$15:$B$17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 HC vs Dépassement par locataire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'Synthèse'!B34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'Synthèse'!$A$35:$A$44</f>
            </numRef>
          </cat>
          <val>
            <numRef>
              <f>'Synthèse'!$B$35:$B$44</f>
            </numRef>
          </val>
        </ser>
        <ser>
          <idx val="1"/>
          <order val="1"/>
          <tx>
            <strRef>
              <f>'Synthèse'!C34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'Synthèse'!$A$35:$A$44</f>
            </numRef>
          </cat>
          <val>
            <numRef>
              <f>'Synthèse'!$C$35:$C$44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32</row>
      <rowOff>0</rowOff>
    </from>
    <ext cx="720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2" customWidth="1" min="3" max="3"/>
    <col width="16" customWidth="1" min="4" max="4"/>
    <col width="28" customWidth="1" min="5" max="5"/>
    <col width="14" customWidth="1" min="6" max="6"/>
    <col width="18" customWidth="1" min="7" max="7"/>
    <col width="11" customWidth="1" min="8" max="8"/>
    <col width="10" customWidth="1" min="9" max="9"/>
    <col width="16" customWidth="1" min="10" max="10"/>
    <col width="9" customWidth="1" min="11" max="11"/>
    <col width="17" customWidth="1" min="12" max="12"/>
    <col width="13" customWidth="1" min="13" max="13"/>
    <col width="12" customWidth="1" min="14" max="14"/>
    <col width="13" customWidth="1" min="15" max="15"/>
    <col width="15" customWidth="1" min="16" max="16"/>
    <col width="17" customWidth="1" min="17" max="17"/>
    <col width="17" customWidth="1" min="18" max="18"/>
    <col width="18" customWidth="1" min="19" max="19"/>
    <col width="17" customWidth="1" min="20" max="20"/>
    <col width="14" customWidth="1" min="21" max="21"/>
    <col width="14" customWidth="1" min="22" max="22"/>
    <col width="18" customWidth="1" min="23" max="23"/>
    <col width="25" customWidth="1" min="24" max="24"/>
  </cols>
  <sheetData>
    <row r="1" ht="36" customHeight="1">
      <c r="A1" s="1" t="inlineStr">
        <is>
          <t>ID_Bail</t>
        </is>
      </c>
      <c r="B1" s="1" t="inlineStr">
        <is>
          <t>Locataire</t>
        </is>
      </c>
      <c r="C1" s="1" t="inlineStr">
        <is>
          <t>Propriétaire / Bailleur</t>
        </is>
      </c>
      <c r="D1" s="1" t="inlineStr">
        <is>
          <t>Type de bien</t>
        </is>
      </c>
      <c r="E1" s="1" t="inlineStr">
        <is>
          <t>Adresse</t>
        </is>
      </c>
      <c r="F1" s="1" t="inlineStr">
        <is>
          <t>Ville</t>
        </is>
      </c>
      <c r="G1" s="1" t="inlineStr">
        <is>
          <t>Arrdt / Quartier</t>
        </is>
      </c>
      <c r="H1" s="1" t="inlineStr">
        <is>
          <t>Surface_m²</t>
        </is>
      </c>
      <c r="I1" s="1" t="inlineStr">
        <is>
          <t>Nb_pièces</t>
        </is>
      </c>
      <c r="J1" s="1" t="inlineStr">
        <is>
          <t>Date_début_bail</t>
        </is>
      </c>
      <c r="K1" s="1" t="inlineStr">
        <is>
          <t>Meublé</t>
        </is>
      </c>
      <c r="L1" s="1" t="inlineStr">
        <is>
          <t>Zone_encadrement</t>
        </is>
      </c>
      <c r="M1" s="1" t="inlineStr">
        <is>
          <t>Loyer_CC_€</t>
        </is>
      </c>
      <c r="N1" s="1" t="inlineStr">
        <is>
          <t>Charges_€</t>
        </is>
      </c>
      <c r="O1" s="1" t="inlineStr">
        <is>
          <t>Loyer_HC_€</t>
        </is>
      </c>
      <c r="P1" s="1" t="inlineStr">
        <is>
          <t>Loyer_réf_m²</t>
        </is>
      </c>
      <c r="Q1" s="1" t="inlineStr">
        <is>
          <t>Loyer_réf_min_m²</t>
        </is>
      </c>
      <c r="R1" s="1" t="inlineStr">
        <is>
          <t>Loyer_réf_maj_m²</t>
        </is>
      </c>
      <c r="S1" s="1" t="inlineStr">
        <is>
          <t>Complément_loyer_€</t>
        </is>
      </c>
      <c r="T1" s="1" t="inlineStr">
        <is>
          <t>Dépôt_garantie_€</t>
        </is>
      </c>
      <c r="U1" s="1" t="inlineStr">
        <is>
          <t>Dépassement_€</t>
        </is>
      </c>
      <c r="V1" s="1" t="inlineStr">
        <is>
          <t>Dépassement_%</t>
        </is>
      </c>
      <c r="W1" s="1" t="inlineStr">
        <is>
          <t>Statut_conformité</t>
        </is>
      </c>
      <c r="X1" s="1" t="inlineStr">
        <is>
          <t>Observations</t>
        </is>
      </c>
    </row>
    <row r="2">
      <c r="A2" s="2" t="inlineStr">
        <is>
          <t>B001</t>
        </is>
      </c>
      <c r="B2" s="2" t="inlineStr">
        <is>
          <t>Camille Durand</t>
        </is>
      </c>
      <c r="C2" s="2" t="inlineStr">
        <is>
          <t>SCI Durand Immobilier</t>
        </is>
      </c>
      <c r="D2" s="2" t="inlineStr">
        <is>
          <t>Appartement T2</t>
        </is>
      </c>
      <c r="E2" s="2" t="inlineStr">
        <is>
          <t>12 rue de la République</t>
        </is>
      </c>
      <c r="F2" s="2" t="inlineStr">
        <is>
          <t>Lyon</t>
        </is>
      </c>
      <c r="G2" s="2" t="inlineStr">
        <is>
          <t>69002 - Presqu'île</t>
        </is>
      </c>
      <c r="H2" s="3" t="n">
        <v>32</v>
      </c>
      <c r="I2" s="2" t="n">
        <v>2</v>
      </c>
      <c r="J2" s="4" t="inlineStr">
        <is>
          <t>15/01/2026</t>
        </is>
      </c>
      <c r="K2" s="2" t="inlineStr">
        <is>
          <t>Non</t>
        </is>
      </c>
      <c r="L2" s="2" t="inlineStr">
        <is>
          <t>Oui</t>
        </is>
      </c>
      <c r="M2" s="5" t="n">
        <v>950</v>
      </c>
      <c r="N2" s="5" t="n">
        <v>80</v>
      </c>
      <c r="O2" s="6">
        <f>M2-N2</f>
        <v/>
      </c>
      <c r="P2" s="7" t="n">
        <v>24.5</v>
      </c>
      <c r="Q2" s="8">
        <f>P2*0.70</f>
        <v/>
      </c>
      <c r="R2" s="8">
        <f>P2*1.20</f>
        <v/>
      </c>
      <c r="S2" s="5" t="n">
        <v>0</v>
      </c>
      <c r="T2" s="5" t="n">
        <v>800</v>
      </c>
      <c r="U2" s="6">
        <f>MAX(0,O2-(R2*H2)-S2)</f>
        <v/>
      </c>
      <c r="V2" s="9">
        <f>IFERROR(IF(O2=0,0,U2/O2),0)</f>
        <v/>
      </c>
      <c r="W2" s="2">
        <f>IF(U2&gt;0,"Non conforme","Conforme")</f>
        <v/>
      </c>
      <c r="X2" s="2" t="inlineStr"/>
    </row>
    <row r="3">
      <c r="A3" s="10" t="inlineStr">
        <is>
          <t>B002</t>
        </is>
      </c>
      <c r="B3" s="10" t="inlineStr">
        <is>
          <t>Julien Moreau</t>
        </is>
      </c>
      <c r="C3" s="10" t="inlineStr">
        <is>
          <t>Pierre Lefebvre</t>
        </is>
      </c>
      <c r="D3" s="10" t="inlineStr">
        <is>
          <t>Appartement T3</t>
        </is>
      </c>
      <c r="E3" s="10" t="inlineStr">
        <is>
          <t>8 avenue Victor Hugo</t>
        </is>
      </c>
      <c r="F3" s="10" t="inlineStr">
        <is>
          <t>Paris</t>
        </is>
      </c>
      <c r="G3" s="10" t="inlineStr">
        <is>
          <t>75116 - Passy</t>
        </is>
      </c>
      <c r="H3" s="11" t="n">
        <v>58</v>
      </c>
      <c r="I3" s="10" t="n">
        <v>3</v>
      </c>
      <c r="J3" s="12" t="inlineStr">
        <is>
          <t>01/02/2026</t>
        </is>
      </c>
      <c r="K3" s="10" t="inlineStr">
        <is>
          <t>Non</t>
        </is>
      </c>
      <c r="L3" s="10" t="inlineStr">
        <is>
          <t>Oui</t>
        </is>
      </c>
      <c r="M3" s="5" t="n">
        <v>1650</v>
      </c>
      <c r="N3" s="5" t="n">
        <v>150</v>
      </c>
      <c r="O3" s="13">
        <f>M3-N3</f>
        <v/>
      </c>
      <c r="P3" s="7" t="n">
        <v>26.8</v>
      </c>
      <c r="Q3" s="14">
        <f>P3*0.70</f>
        <v/>
      </c>
      <c r="R3" s="14">
        <f>P3*1.20</f>
        <v/>
      </c>
      <c r="S3" s="5" t="n">
        <v>0</v>
      </c>
      <c r="T3" s="5" t="n">
        <v>1500</v>
      </c>
      <c r="U3" s="13">
        <f>MAX(0,O3-(R3*H3)-S3)</f>
        <v/>
      </c>
      <c r="V3" s="15">
        <f>IFERROR(IF(O3=0,0,U3/O3),0)</f>
        <v/>
      </c>
      <c r="W3" s="10">
        <f>IF(U3&gt;0,"Non conforme","Conforme")</f>
        <v/>
      </c>
      <c r="X3" s="10" t="inlineStr">
        <is>
          <t>Proche plafond</t>
        </is>
      </c>
    </row>
    <row r="4">
      <c r="A4" s="2" t="inlineStr">
        <is>
          <t>B003</t>
        </is>
      </c>
      <c r="B4" s="2" t="inlineStr">
        <is>
          <t>Sophie Lefèvre</t>
        </is>
      </c>
      <c r="C4" s="2" t="inlineStr">
        <is>
          <t>SCI Bonneau &amp; Fils</t>
        </is>
      </c>
      <c r="D4" s="2" t="inlineStr">
        <is>
          <t>Studio</t>
        </is>
      </c>
      <c r="E4" s="2" t="inlineStr">
        <is>
          <t>24 cours Gambetta</t>
        </is>
      </c>
      <c r="F4" s="2" t="inlineStr">
        <is>
          <t>Bordeaux</t>
        </is>
      </c>
      <c r="G4" s="2" t="inlineStr">
        <is>
          <t>33000 - Centre</t>
        </is>
      </c>
      <c r="H4" s="3" t="n">
        <v>22</v>
      </c>
      <c r="I4" s="2" t="n">
        <v>1</v>
      </c>
      <c r="J4" s="4" t="inlineStr">
        <is>
          <t>10/03/2026</t>
        </is>
      </c>
      <c r="K4" s="2" t="inlineStr">
        <is>
          <t>Oui</t>
        </is>
      </c>
      <c r="L4" s="2" t="inlineStr">
        <is>
          <t>Oui</t>
        </is>
      </c>
      <c r="M4" s="5" t="n">
        <v>780</v>
      </c>
      <c r="N4" s="5" t="n">
        <v>70</v>
      </c>
      <c r="O4" s="6">
        <f>M4-N4</f>
        <v/>
      </c>
      <c r="P4" s="7" t="n">
        <v>18.2</v>
      </c>
      <c r="Q4" s="8">
        <f>P4*0.70</f>
        <v/>
      </c>
      <c r="R4" s="8">
        <f>P4*1.20</f>
        <v/>
      </c>
      <c r="S4" s="5" t="n">
        <v>50</v>
      </c>
      <c r="T4" s="5" t="n">
        <v>1300</v>
      </c>
      <c r="U4" s="6">
        <f>MAX(0,O4-(R4*H4)-S4)</f>
        <v/>
      </c>
      <c r="V4" s="9">
        <f>IFERROR(IF(O4=0,0,U4/O4),0)</f>
        <v/>
      </c>
      <c r="W4" s="2">
        <f>IF(U4&gt;0,"Non conforme","Conforme")</f>
        <v/>
      </c>
      <c r="X4" s="2" t="inlineStr">
        <is>
          <t>Complément loyer</t>
        </is>
      </c>
    </row>
    <row r="5">
      <c r="A5" s="10" t="inlineStr">
        <is>
          <t>B004</t>
        </is>
      </c>
      <c r="B5" s="10" t="inlineStr">
        <is>
          <t>Thomas Bernard</t>
        </is>
      </c>
      <c r="C5" s="10" t="inlineStr">
        <is>
          <t>Agnès Fontaine</t>
        </is>
      </c>
      <c r="D5" s="10" t="inlineStr">
        <is>
          <t>Appartement T2</t>
        </is>
      </c>
      <c r="E5" s="10" t="inlineStr">
        <is>
          <t>15 rue Nationale</t>
        </is>
      </c>
      <c r="F5" s="10" t="inlineStr">
        <is>
          <t>Lille</t>
        </is>
      </c>
      <c r="G5" s="10" t="inlineStr">
        <is>
          <t>59000 - Centre</t>
        </is>
      </c>
      <c r="H5" s="11" t="n">
        <v>38</v>
      </c>
      <c r="I5" s="10" t="n">
        <v>2</v>
      </c>
      <c r="J5" s="12" t="inlineStr">
        <is>
          <t>01/04/2026</t>
        </is>
      </c>
      <c r="K5" s="10" t="inlineStr">
        <is>
          <t>Non</t>
        </is>
      </c>
      <c r="L5" s="10" t="inlineStr">
        <is>
          <t>Oui</t>
        </is>
      </c>
      <c r="M5" s="5" t="n">
        <v>750</v>
      </c>
      <c r="N5" s="5" t="n">
        <v>90</v>
      </c>
      <c r="O5" s="13">
        <f>M5-N5</f>
        <v/>
      </c>
      <c r="P5" s="7" t="n">
        <v>16.5</v>
      </c>
      <c r="Q5" s="14">
        <f>P5*0.70</f>
        <v/>
      </c>
      <c r="R5" s="14">
        <f>P5*1.20</f>
        <v/>
      </c>
      <c r="S5" s="5" t="n">
        <v>0</v>
      </c>
      <c r="T5" s="5" t="n">
        <v>660</v>
      </c>
      <c r="U5" s="13">
        <f>MAX(0,O5-(R5*H5)-S5)</f>
        <v/>
      </c>
      <c r="V5" s="15">
        <f>IFERROR(IF(O5=0,0,U5/O5),0)</f>
        <v/>
      </c>
      <c r="W5" s="10">
        <f>IF(U5&gt;0,"Non conforme","Conforme")</f>
        <v/>
      </c>
      <c r="X5" s="10" t="inlineStr"/>
    </row>
    <row r="6">
      <c r="A6" s="2" t="inlineStr">
        <is>
          <t>B005</t>
        </is>
      </c>
      <c r="B6" s="2" t="inlineStr">
        <is>
          <t>Léa Martin</t>
        </is>
      </c>
      <c r="C6" s="2" t="inlineStr">
        <is>
          <t>SCI Martin Invest</t>
        </is>
      </c>
      <c r="D6" s="2" t="inlineStr">
        <is>
          <t>Appartement T3</t>
        </is>
      </c>
      <c r="E6" s="2" t="inlineStr">
        <is>
          <t>3 boulevard de la Liberté</t>
        </is>
      </c>
      <c r="F6" s="2" t="inlineStr">
        <is>
          <t>Montpellier</t>
        </is>
      </c>
      <c r="G6" s="2" t="inlineStr">
        <is>
          <t>34000 - Écusson</t>
        </is>
      </c>
      <c r="H6" s="3" t="n">
        <v>55</v>
      </c>
      <c r="I6" s="2" t="n">
        <v>3</v>
      </c>
      <c r="J6" s="4" t="inlineStr">
        <is>
          <t>15/02/2026</t>
        </is>
      </c>
      <c r="K6" s="2" t="inlineStr">
        <is>
          <t>Non</t>
        </is>
      </c>
      <c r="L6" s="2" t="inlineStr">
        <is>
          <t>Non</t>
        </is>
      </c>
      <c r="M6" s="5" t="n">
        <v>1100</v>
      </c>
      <c r="N6" s="5" t="n">
        <v>120</v>
      </c>
      <c r="O6" s="6">
        <f>M6-N6</f>
        <v/>
      </c>
      <c r="P6" s="7" t="n">
        <v>15.8</v>
      </c>
      <c r="Q6" s="8">
        <f>P6*0.70</f>
        <v/>
      </c>
      <c r="R6" s="8">
        <f>P6*1.20</f>
        <v/>
      </c>
      <c r="S6" s="5" t="n">
        <v>0</v>
      </c>
      <c r="T6" s="5" t="n">
        <v>1000</v>
      </c>
      <c r="U6" s="6">
        <f>MAX(0,O6-(R6*H6)-S6)</f>
        <v/>
      </c>
      <c r="V6" s="9">
        <f>IFERROR(IF(O6=0,0,U6/O6),0)</f>
        <v/>
      </c>
      <c r="W6" s="2">
        <f>IF(U6&gt;0,"Non conforme","Conforme")</f>
        <v/>
      </c>
      <c r="X6" s="2" t="inlineStr">
        <is>
          <t>Hors zone</t>
        </is>
      </c>
    </row>
    <row r="7">
      <c r="A7" s="10" t="inlineStr">
        <is>
          <t>B006</t>
        </is>
      </c>
      <c r="B7" s="10" t="inlineStr">
        <is>
          <t>Nicolas Petit</t>
        </is>
      </c>
      <c r="C7" s="10" t="inlineStr">
        <is>
          <t>Jean-Claude Renard</t>
        </is>
      </c>
      <c r="D7" s="10" t="inlineStr">
        <is>
          <t>Appartement T1</t>
        </is>
      </c>
      <c r="E7" s="10" t="inlineStr">
        <is>
          <t>18 rue Jean Jaurès</t>
        </is>
      </c>
      <c r="F7" s="10" t="inlineStr">
        <is>
          <t>Nantes</t>
        </is>
      </c>
      <c r="G7" s="10" t="inlineStr">
        <is>
          <t>44000 - Centre</t>
        </is>
      </c>
      <c r="H7" s="11" t="n">
        <v>28</v>
      </c>
      <c r="I7" s="10" t="n">
        <v>1</v>
      </c>
      <c r="J7" s="12" t="inlineStr">
        <is>
          <t>01/03/2026</t>
        </is>
      </c>
      <c r="K7" s="10" t="inlineStr">
        <is>
          <t>Oui</t>
        </is>
      </c>
      <c r="L7" s="10" t="inlineStr">
        <is>
          <t>Non</t>
        </is>
      </c>
      <c r="M7" s="5" t="n">
        <v>750</v>
      </c>
      <c r="N7" s="5" t="n">
        <v>65</v>
      </c>
      <c r="O7" s="13">
        <f>M7-N7</f>
        <v/>
      </c>
      <c r="P7" s="7" t="n">
        <v>17.2</v>
      </c>
      <c r="Q7" s="14">
        <f>P7*0.70</f>
        <v/>
      </c>
      <c r="R7" s="14">
        <f>P7*1.20</f>
        <v/>
      </c>
      <c r="S7" s="5" t="n">
        <v>0</v>
      </c>
      <c r="T7" s="5" t="n">
        <v>1300</v>
      </c>
      <c r="U7" s="13">
        <f>MAX(0,O7-(R7*H7)-S7)</f>
        <v/>
      </c>
      <c r="V7" s="15">
        <f>IFERROR(IF(O7=0,0,U7/O7),0)</f>
        <v/>
      </c>
      <c r="W7" s="10">
        <f>IF(U7&gt;0,"Non conforme","Conforme")</f>
        <v/>
      </c>
      <c r="X7" s="10" t="inlineStr">
        <is>
          <t>Hors zone</t>
        </is>
      </c>
    </row>
    <row r="8">
      <c r="A8" s="2" t="inlineStr">
        <is>
          <t>B007</t>
        </is>
      </c>
      <c r="B8" s="2" t="inlineStr">
        <is>
          <t>Émilie Rousseau</t>
        </is>
      </c>
      <c r="C8" s="2" t="inlineStr">
        <is>
          <t>SCI Alsace Patrimoine</t>
        </is>
      </c>
      <c r="D8" s="2" t="inlineStr">
        <is>
          <t>Appartement T2</t>
        </is>
      </c>
      <c r="E8" s="2" t="inlineStr">
        <is>
          <t>7 rue de Metz</t>
        </is>
      </c>
      <c r="F8" s="2" t="inlineStr">
        <is>
          <t>Strasbourg</t>
        </is>
      </c>
      <c r="G8" s="2" t="inlineStr">
        <is>
          <t>67000 - Krutenau</t>
        </is>
      </c>
      <c r="H8" s="3" t="n">
        <v>42</v>
      </c>
      <c r="I8" s="2" t="n">
        <v>2</v>
      </c>
      <c r="J8" s="4" t="inlineStr">
        <is>
          <t>01/05/2026</t>
        </is>
      </c>
      <c r="K8" s="2" t="inlineStr">
        <is>
          <t>Non</t>
        </is>
      </c>
      <c r="L8" s="2" t="inlineStr">
        <is>
          <t>Oui</t>
        </is>
      </c>
      <c r="M8" s="5" t="n">
        <v>900</v>
      </c>
      <c r="N8" s="5" t="n">
        <v>100</v>
      </c>
      <c r="O8" s="6">
        <f>M8-N8</f>
        <v/>
      </c>
      <c r="P8" s="7" t="n">
        <v>19</v>
      </c>
      <c r="Q8" s="8">
        <f>P8*0.70</f>
        <v/>
      </c>
      <c r="R8" s="8">
        <f>P8*1.20</f>
        <v/>
      </c>
      <c r="S8" s="5" t="n">
        <v>0</v>
      </c>
      <c r="T8" s="5" t="n">
        <v>800</v>
      </c>
      <c r="U8" s="6">
        <f>MAX(0,O8-(R8*H8)-S8)</f>
        <v/>
      </c>
      <c r="V8" s="9">
        <f>IFERROR(IF(O8=0,0,U8/O8),0)</f>
        <v/>
      </c>
      <c r="W8" s="2">
        <f>IF(U8&gt;0,"Non conforme","Conforme")</f>
        <v/>
      </c>
      <c r="X8" s="2" t="inlineStr"/>
    </row>
    <row r="9">
      <c r="A9" s="10" t="inlineStr">
        <is>
          <t>B008</t>
        </is>
      </c>
      <c r="B9" s="10" t="inlineStr">
        <is>
          <t>Antoine Garcia</t>
        </is>
      </c>
      <c r="C9" s="10" t="inlineStr">
        <is>
          <t>Cabinet Immo Sud</t>
        </is>
      </c>
      <c r="D9" s="10" t="inlineStr">
        <is>
          <t>Studio</t>
        </is>
      </c>
      <c r="E9" s="10" t="inlineStr">
        <is>
          <t>41 rue du Faubourg</t>
        </is>
      </c>
      <c r="F9" s="10" t="inlineStr">
        <is>
          <t>Marseille</t>
        </is>
      </c>
      <c r="G9" s="10" t="inlineStr">
        <is>
          <t>13001 - Noailles</t>
        </is>
      </c>
      <c r="H9" s="11" t="n">
        <v>18</v>
      </c>
      <c r="I9" s="10" t="n">
        <v>1</v>
      </c>
      <c r="J9" s="12" t="inlineStr">
        <is>
          <t>15/04/2026</t>
        </is>
      </c>
      <c r="K9" s="10" t="inlineStr">
        <is>
          <t>Oui</t>
        </is>
      </c>
      <c r="L9" s="10" t="inlineStr">
        <is>
          <t>Non</t>
        </is>
      </c>
      <c r="M9" s="5" t="n">
        <v>650</v>
      </c>
      <c r="N9" s="5" t="n">
        <v>60</v>
      </c>
      <c r="O9" s="13">
        <f>M9-N9</f>
        <v/>
      </c>
      <c r="P9" s="7" t="n">
        <v>14.5</v>
      </c>
      <c r="Q9" s="14">
        <f>P9*0.70</f>
        <v/>
      </c>
      <c r="R9" s="14">
        <f>P9*1.20</f>
        <v/>
      </c>
      <c r="S9" s="5" t="n">
        <v>0</v>
      </c>
      <c r="T9" s="5" t="n">
        <v>1100</v>
      </c>
      <c r="U9" s="13">
        <f>MAX(0,O9-(R9*H9)-S9)</f>
        <v/>
      </c>
      <c r="V9" s="15">
        <f>IFERROR(IF(O9=0,0,U9/O9),0)</f>
        <v/>
      </c>
      <c r="W9" s="10">
        <f>IF(U9&gt;0,"Non conforme","Conforme")</f>
        <v/>
      </c>
      <c r="X9" s="10" t="inlineStr">
        <is>
          <t>Hors zone</t>
        </is>
      </c>
    </row>
    <row r="10">
      <c r="A10" s="2" t="inlineStr">
        <is>
          <t>B009</t>
        </is>
      </c>
      <c r="B10" s="2" t="inlineStr">
        <is>
          <t>Manon Leroy</t>
        </is>
      </c>
      <c r="C10" s="2" t="inlineStr">
        <is>
          <t>SCI Leroy &amp; Associés</t>
        </is>
      </c>
      <c r="D10" s="2" t="inlineStr">
        <is>
          <t>Appartement T3</t>
        </is>
      </c>
      <c r="E10" s="2" t="inlineStr">
        <is>
          <t>5 place Bellecour</t>
        </is>
      </c>
      <c r="F10" s="2" t="inlineStr">
        <is>
          <t>Lyon</t>
        </is>
      </c>
      <c r="G10" s="2" t="inlineStr">
        <is>
          <t>69002 - Bellecour</t>
        </is>
      </c>
      <c r="H10" s="3" t="n">
        <v>62</v>
      </c>
      <c r="I10" s="2" t="n">
        <v>3</v>
      </c>
      <c r="J10" s="4" t="inlineStr">
        <is>
          <t>01/06/2026</t>
        </is>
      </c>
      <c r="K10" s="2" t="inlineStr">
        <is>
          <t>Non</t>
        </is>
      </c>
      <c r="L10" s="2" t="inlineStr">
        <is>
          <t>Oui</t>
        </is>
      </c>
      <c r="M10" s="5" t="n">
        <v>1450</v>
      </c>
      <c r="N10" s="5" t="n">
        <v>160</v>
      </c>
      <c r="O10" s="6">
        <f>M10-N10</f>
        <v/>
      </c>
      <c r="P10" s="7" t="n">
        <v>22</v>
      </c>
      <c r="Q10" s="8">
        <f>P10*0.70</f>
        <v/>
      </c>
      <c r="R10" s="8">
        <f>P10*1.20</f>
        <v/>
      </c>
      <c r="S10" s="5" t="n">
        <v>100</v>
      </c>
      <c r="T10" s="5" t="n">
        <v>1290</v>
      </c>
      <c r="U10" s="6">
        <f>MAX(0,O10-(R10*H10)-S10)</f>
        <v/>
      </c>
      <c r="V10" s="9">
        <f>IFERROR(IF(O10=0,0,U10/O10),0)</f>
        <v/>
      </c>
      <c r="W10" s="2">
        <f>IF(U10&gt;0,"Non conforme","Conforme")</f>
        <v/>
      </c>
      <c r="X10" s="2" t="inlineStr">
        <is>
          <t>Complément loyer</t>
        </is>
      </c>
    </row>
    <row r="11">
      <c r="A11" s="10" t="inlineStr">
        <is>
          <t>B010</t>
        </is>
      </c>
      <c r="B11" s="10" t="inlineStr">
        <is>
          <t>Hugo François</t>
        </is>
      </c>
      <c r="C11" s="10" t="inlineStr">
        <is>
          <t>Isabelle Marchand</t>
        </is>
      </c>
      <c r="D11" s="10" t="inlineStr">
        <is>
          <t>Appartement T2</t>
        </is>
      </c>
      <c r="E11" s="10" t="inlineStr">
        <is>
          <t>19 rue d'Assas</t>
        </is>
      </c>
      <c r="F11" s="10" t="inlineStr">
        <is>
          <t>Paris</t>
        </is>
      </c>
      <c r="G11" s="10" t="inlineStr">
        <is>
          <t>75006 - Luxembourg</t>
        </is>
      </c>
      <c r="H11" s="11" t="n">
        <v>45</v>
      </c>
      <c r="I11" s="10" t="n">
        <v>2</v>
      </c>
      <c r="J11" s="12" t="inlineStr">
        <is>
          <t>01/05/2026</t>
        </is>
      </c>
      <c r="K11" s="10" t="inlineStr">
        <is>
          <t>Oui</t>
        </is>
      </c>
      <c r="L11" s="10" t="inlineStr">
        <is>
          <t>Oui</t>
        </is>
      </c>
      <c r="M11" s="5" t="n">
        <v>1600</v>
      </c>
      <c r="N11" s="5" t="n">
        <v>140</v>
      </c>
      <c r="O11" s="13">
        <f>M11-N11</f>
        <v/>
      </c>
      <c r="P11" s="7" t="n">
        <v>34.5</v>
      </c>
      <c r="Q11" s="14">
        <f>P11*0.70</f>
        <v/>
      </c>
      <c r="R11" s="14">
        <f>P11*1.20</f>
        <v/>
      </c>
      <c r="S11" s="5" t="n">
        <v>0</v>
      </c>
      <c r="T11" s="5" t="n">
        <v>2900</v>
      </c>
      <c r="U11" s="13">
        <f>MAX(0,O11-(R11*H11)-S11)</f>
        <v/>
      </c>
      <c r="V11" s="15">
        <f>IFERROR(IF(O11=0,0,U11/O11),0)</f>
        <v/>
      </c>
      <c r="W11" s="10">
        <f>IF(U11&gt;0,"Non conforme","Conforme")</f>
        <v/>
      </c>
      <c r="X11" s="10" t="inlineStr">
        <is>
          <t>Meublé Paris</t>
        </is>
      </c>
    </row>
  </sheetData>
  <autoFilter ref="A1:X11"/>
  <conditionalFormatting sqref="W2:W11">
    <cfRule type="expression" priority="1" dxfId="0" stopIfTrue="1">
      <formula>W2="Conforme"</formula>
    </cfRule>
    <cfRule type="expression" priority="2" dxfId="1" stopIfTrue="1">
      <formula>W2="Non conforme"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4" customWidth="1" min="4" max="4"/>
    <col width="12" customWidth="1" min="5" max="5"/>
    <col width="14" customWidth="1" min="6" max="6"/>
    <col width="14" customWidth="1" min="7" max="7"/>
    <col width="16" customWidth="1" min="8" max="8"/>
    <col width="16" customWidth="1" min="9" max="9"/>
    <col width="28" customWidth="1" min="10" max="10"/>
    <col width="16" customWidth="1" min="11" max="11"/>
  </cols>
  <sheetData>
    <row r="1" ht="36" customHeight="1">
      <c r="A1" s="1" t="inlineStr">
        <is>
          <t>Ville</t>
        </is>
      </c>
      <c r="B1" s="1" t="inlineStr">
        <is>
          <t>Quartier / Secteur</t>
        </is>
      </c>
      <c r="C1" s="1" t="inlineStr">
        <is>
          <t>Type_bien</t>
        </is>
      </c>
      <c r="D1" s="1" t="inlineStr">
        <is>
          <t>Vide / Meublé</t>
        </is>
      </c>
      <c r="E1" s="1" t="inlineStr">
        <is>
          <t>Période</t>
        </is>
      </c>
      <c r="F1" s="1" t="inlineStr">
        <is>
          <t>Surface_réf_m²</t>
        </is>
      </c>
      <c r="G1" s="1" t="inlineStr">
        <is>
          <t>Loyer_réf_m²</t>
        </is>
      </c>
      <c r="H1" s="1" t="inlineStr">
        <is>
          <t>Loyer_réf_min_m²</t>
        </is>
      </c>
      <c r="I1" s="1" t="inlineStr">
        <is>
          <t>Loyer_réf_maj_m²</t>
        </is>
      </c>
      <c r="J1" s="1" t="inlineStr">
        <is>
          <t>Source / Arrêté préfectoral</t>
        </is>
      </c>
      <c r="K1" s="1" t="inlineStr">
        <is>
          <t>Date_mise_à_jour</t>
        </is>
      </c>
    </row>
    <row r="2">
      <c r="A2" s="2" t="inlineStr">
        <is>
          <t>Paris</t>
        </is>
      </c>
      <c r="B2" s="2" t="inlineStr">
        <is>
          <t>75006 - Luxembourg</t>
        </is>
      </c>
      <c r="C2" s="2" t="inlineStr">
        <is>
          <t>Appartement</t>
        </is>
      </c>
      <c r="D2" s="2" t="inlineStr">
        <is>
          <t>Meublé</t>
        </is>
      </c>
      <c r="E2" s="2" t="inlineStr">
        <is>
          <t>2026</t>
        </is>
      </c>
      <c r="F2" s="2" t="inlineStr">
        <is>
          <t>45</t>
        </is>
      </c>
      <c r="G2" s="7" t="n">
        <v>34.5</v>
      </c>
      <c r="H2" s="8">
        <f>G2*0.70</f>
        <v/>
      </c>
      <c r="I2" s="8">
        <f>G2*1.20</f>
        <v/>
      </c>
      <c r="J2" s="2" t="inlineStr">
        <is>
          <t>Arrêté préfectoral IDF 2025-12-01</t>
        </is>
      </c>
      <c r="K2" s="4" t="inlineStr">
        <is>
          <t>01/01/2026</t>
        </is>
      </c>
    </row>
    <row r="3">
      <c r="A3" s="10" t="inlineStr">
        <is>
          <t>Paris</t>
        </is>
      </c>
      <c r="B3" s="10" t="inlineStr">
        <is>
          <t>75116 - Passy</t>
        </is>
      </c>
      <c r="C3" s="10" t="inlineStr">
        <is>
          <t>Appartement</t>
        </is>
      </c>
      <c r="D3" s="10" t="inlineStr">
        <is>
          <t>Vide</t>
        </is>
      </c>
      <c r="E3" s="10" t="inlineStr">
        <is>
          <t>2026</t>
        </is>
      </c>
      <c r="F3" s="10" t="inlineStr">
        <is>
          <t>58</t>
        </is>
      </c>
      <c r="G3" s="7" t="n">
        <v>26.8</v>
      </c>
      <c r="H3" s="14">
        <f>G3*0.70</f>
        <v/>
      </c>
      <c r="I3" s="14">
        <f>G3*1.20</f>
        <v/>
      </c>
      <c r="J3" s="10" t="inlineStr">
        <is>
          <t>Arrêté préfectoral IDF 2025-12-01</t>
        </is>
      </c>
      <c r="K3" s="12" t="inlineStr">
        <is>
          <t>01/01/2026</t>
        </is>
      </c>
    </row>
    <row r="4">
      <c r="A4" s="2" t="inlineStr">
        <is>
          <t>Paris</t>
        </is>
      </c>
      <c r="B4" s="2" t="inlineStr">
        <is>
          <t>75006 - Luxembourg</t>
        </is>
      </c>
      <c r="C4" s="2" t="inlineStr">
        <is>
          <t>Appartement</t>
        </is>
      </c>
      <c r="D4" s="2" t="inlineStr">
        <is>
          <t>Vide</t>
        </is>
      </c>
      <c r="E4" s="2" t="inlineStr">
        <is>
          <t>2026</t>
        </is>
      </c>
      <c r="F4" s="2" t="inlineStr">
        <is>
          <t>45</t>
        </is>
      </c>
      <c r="G4" s="7" t="n">
        <v>30.2</v>
      </c>
      <c r="H4" s="8">
        <f>G4*0.70</f>
        <v/>
      </c>
      <c r="I4" s="8">
        <f>G4*1.20</f>
        <v/>
      </c>
      <c r="J4" s="2" t="inlineStr">
        <is>
          <t>Arrêté préfectoral IDF 2025-12-01</t>
        </is>
      </c>
      <c r="K4" s="4" t="inlineStr">
        <is>
          <t>01/01/2026</t>
        </is>
      </c>
    </row>
    <row r="5">
      <c r="A5" s="10" t="inlineStr">
        <is>
          <t>Lyon</t>
        </is>
      </c>
      <c r="B5" s="10" t="inlineStr">
        <is>
          <t>69002 - Presqu'île</t>
        </is>
      </c>
      <c r="C5" s="10" t="inlineStr">
        <is>
          <t>Appartement</t>
        </is>
      </c>
      <c r="D5" s="10" t="inlineStr">
        <is>
          <t>Vide</t>
        </is>
      </c>
      <c r="E5" s="10" t="inlineStr">
        <is>
          <t>2026</t>
        </is>
      </c>
      <c r="F5" s="10" t="inlineStr">
        <is>
          <t>32</t>
        </is>
      </c>
      <c r="G5" s="7" t="n">
        <v>24.5</v>
      </c>
      <c r="H5" s="14">
        <f>G5*0.70</f>
        <v/>
      </c>
      <c r="I5" s="14">
        <f>G5*1.20</f>
        <v/>
      </c>
      <c r="J5" s="10" t="inlineStr">
        <is>
          <t>Arrêté préfectoral ARA 2025-11-15</t>
        </is>
      </c>
      <c r="K5" s="12" t="inlineStr">
        <is>
          <t>01/01/2026</t>
        </is>
      </c>
    </row>
    <row r="6">
      <c r="A6" s="2" t="inlineStr">
        <is>
          <t>Lyon</t>
        </is>
      </c>
      <c r="B6" s="2" t="inlineStr">
        <is>
          <t>69002 - Bellecour</t>
        </is>
      </c>
      <c r="C6" s="2" t="inlineStr">
        <is>
          <t>Appartement</t>
        </is>
      </c>
      <c r="D6" s="2" t="inlineStr">
        <is>
          <t>Vide</t>
        </is>
      </c>
      <c r="E6" s="2" t="inlineStr">
        <is>
          <t>2026</t>
        </is>
      </c>
      <c r="F6" s="2" t="inlineStr">
        <is>
          <t>62</t>
        </is>
      </c>
      <c r="G6" s="7" t="n">
        <v>22</v>
      </c>
      <c r="H6" s="8">
        <f>G6*0.70</f>
        <v/>
      </c>
      <c r="I6" s="8">
        <f>G6*1.20</f>
        <v/>
      </c>
      <c r="J6" s="2" t="inlineStr">
        <is>
          <t>Arrêté préfectoral ARA 2025-11-15</t>
        </is>
      </c>
      <c r="K6" s="4" t="inlineStr">
        <is>
          <t>01/01/2026</t>
        </is>
      </c>
    </row>
    <row r="7">
      <c r="A7" s="10" t="inlineStr">
        <is>
          <t>Bordeaux</t>
        </is>
      </c>
      <c r="B7" s="10" t="inlineStr">
        <is>
          <t>33000 - Centre</t>
        </is>
      </c>
      <c r="C7" s="10" t="inlineStr">
        <is>
          <t>Studio</t>
        </is>
      </c>
      <c r="D7" s="10" t="inlineStr">
        <is>
          <t>Meublé</t>
        </is>
      </c>
      <c r="E7" s="10" t="inlineStr">
        <is>
          <t>2026</t>
        </is>
      </c>
      <c r="F7" s="10" t="inlineStr">
        <is>
          <t>22</t>
        </is>
      </c>
      <c r="G7" s="7" t="n">
        <v>18.2</v>
      </c>
      <c r="H7" s="14">
        <f>G7*0.70</f>
        <v/>
      </c>
      <c r="I7" s="14">
        <f>G7*1.20</f>
        <v/>
      </c>
      <c r="J7" s="10" t="inlineStr">
        <is>
          <t>Arrêté préfectoral NA 2025-10-01</t>
        </is>
      </c>
      <c r="K7" s="12" t="inlineStr">
        <is>
          <t>01/01/2026</t>
        </is>
      </c>
    </row>
    <row r="8">
      <c r="A8" s="2" t="inlineStr">
        <is>
          <t>Lille</t>
        </is>
      </c>
      <c r="B8" s="2" t="inlineStr">
        <is>
          <t>59000 - Centre</t>
        </is>
      </c>
      <c r="C8" s="2" t="inlineStr">
        <is>
          <t>Appartement</t>
        </is>
      </c>
      <c r="D8" s="2" t="inlineStr">
        <is>
          <t>Vide</t>
        </is>
      </c>
      <c r="E8" s="2" t="inlineStr">
        <is>
          <t>2026</t>
        </is>
      </c>
      <c r="F8" s="2" t="inlineStr">
        <is>
          <t>38</t>
        </is>
      </c>
      <c r="G8" s="7" t="n">
        <v>16.5</v>
      </c>
      <c r="H8" s="8">
        <f>G8*0.70</f>
        <v/>
      </c>
      <c r="I8" s="8">
        <f>G8*1.20</f>
        <v/>
      </c>
      <c r="J8" s="2" t="inlineStr">
        <is>
          <t>Arrêté préfectoral HdF 2025-11-01</t>
        </is>
      </c>
      <c r="K8" s="4" t="inlineStr">
        <is>
          <t>01/01/2026</t>
        </is>
      </c>
    </row>
    <row r="9">
      <c r="A9" s="10" t="inlineStr">
        <is>
          <t>Strasbourg</t>
        </is>
      </c>
      <c r="B9" s="10" t="inlineStr">
        <is>
          <t>67000 - Krutenau</t>
        </is>
      </c>
      <c r="C9" s="10" t="inlineStr">
        <is>
          <t>Appartement</t>
        </is>
      </c>
      <c r="D9" s="10" t="inlineStr">
        <is>
          <t>Vide</t>
        </is>
      </c>
      <c r="E9" s="10" t="inlineStr">
        <is>
          <t>2026</t>
        </is>
      </c>
      <c r="F9" s="10" t="inlineStr">
        <is>
          <t>42</t>
        </is>
      </c>
      <c r="G9" s="7" t="n">
        <v>19</v>
      </c>
      <c r="H9" s="14">
        <f>G9*0.70</f>
        <v/>
      </c>
      <c r="I9" s="14">
        <f>G9*1.20</f>
        <v/>
      </c>
      <c r="J9" s="10" t="inlineStr">
        <is>
          <t>Arrêté préfectoral GE 2025-12-01</t>
        </is>
      </c>
      <c r="K9" s="12" t="inlineStr">
        <is>
          <t>01/01/2026</t>
        </is>
      </c>
    </row>
    <row r="10">
      <c r="A10" s="2" t="inlineStr">
        <is>
          <t>Montpellier</t>
        </is>
      </c>
      <c r="B10" s="2" t="inlineStr">
        <is>
          <t>34000 - Écusson</t>
        </is>
      </c>
      <c r="C10" s="2" t="inlineStr">
        <is>
          <t>Appartement</t>
        </is>
      </c>
      <c r="D10" s="2" t="inlineStr">
        <is>
          <t>Vide</t>
        </is>
      </c>
      <c r="E10" s="2" t="inlineStr">
        <is>
          <t>2026</t>
        </is>
      </c>
      <c r="F10" s="2" t="inlineStr">
        <is>
          <t>55</t>
        </is>
      </c>
      <c r="G10" s="7" t="n">
        <v>15.8</v>
      </c>
      <c r="H10" s="8">
        <f>G10*0.70</f>
        <v/>
      </c>
      <c r="I10" s="8">
        <f>G10*1.20</f>
        <v/>
      </c>
      <c r="J10" s="2" t="inlineStr">
        <is>
          <t>Hors encadrement (2026)</t>
        </is>
      </c>
      <c r="K10" s="4" t="inlineStr">
        <is>
          <t>01/01/2026</t>
        </is>
      </c>
    </row>
    <row r="11">
      <c r="A11" s="10" t="inlineStr">
        <is>
          <t>Marseille</t>
        </is>
      </c>
      <c r="B11" s="10" t="inlineStr">
        <is>
          <t>13001 - Noailles</t>
        </is>
      </c>
      <c r="C11" s="10" t="inlineStr">
        <is>
          <t>Studio</t>
        </is>
      </c>
      <c r="D11" s="10" t="inlineStr">
        <is>
          <t>Meublé</t>
        </is>
      </c>
      <c r="E11" s="10" t="inlineStr">
        <is>
          <t>2026</t>
        </is>
      </c>
      <c r="F11" s="10" t="inlineStr">
        <is>
          <t>18</t>
        </is>
      </c>
      <c r="G11" s="7" t="n">
        <v>14.5</v>
      </c>
      <c r="H11" s="14">
        <f>G11*0.70</f>
        <v/>
      </c>
      <c r="I11" s="14">
        <f>G11*1.20</f>
        <v/>
      </c>
      <c r="J11" s="10" t="inlineStr">
        <is>
          <t>Hors encadrement (2026)</t>
        </is>
      </c>
      <c r="K11" s="12" t="inlineStr">
        <is>
          <t>01/01/2026</t>
        </is>
      </c>
    </row>
  </sheetData>
  <autoFilter ref="A1:K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35" customWidth="1" min="1" max="1"/>
    <col width="22" customWidth="1" min="2" max="2"/>
    <col width="1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 ht="32" customHeight="1">
      <c r="A1" s="16" t="inlineStr">
        <is>
          <t>SYNTHÈSE — ENCADREMENT DES LOYERS</t>
        </is>
      </c>
      <c r="B1" s="37" t="n"/>
      <c r="C1" s="37" t="n"/>
      <c r="D1" s="37" t="n"/>
      <c r="E1" s="37" t="n"/>
      <c r="F1" s="37" t="n"/>
      <c r="G1" s="37" t="n"/>
      <c r="H1" s="24" t="n"/>
    </row>
    <row r="2">
      <c r="A2" s="17" t="inlineStr">
        <is>
          <t>Indicateur</t>
        </is>
      </c>
      <c r="B2" s="17" t="inlineStr">
        <is>
          <t>Valeur</t>
        </is>
      </c>
    </row>
    <row r="3">
      <c r="A3" s="18" t="inlineStr">
        <is>
          <t>Nombre total de baux</t>
        </is>
      </c>
      <c r="B3" s="19">
        <f>COUNTA(Données_baux!A2:A11)</f>
        <v/>
      </c>
    </row>
    <row r="4">
      <c r="A4" s="20" t="inlineStr">
        <is>
          <t>Baux en zone d'encadrement</t>
        </is>
      </c>
      <c r="B4" s="19">
        <f>COUNTIF(Données_baux!L2:L11,"Oui")</f>
        <v/>
      </c>
    </row>
    <row r="5">
      <c r="A5" s="18" t="inlineStr">
        <is>
          <t>Baux non conformes</t>
        </is>
      </c>
      <c r="B5" s="19">
        <f>COUNTIF(Données_baux!W2:W11,"Non conforme")</f>
        <v/>
      </c>
    </row>
    <row r="6">
      <c r="A6" s="20" t="inlineStr">
        <is>
          <t>Taux de non-conformité</t>
        </is>
      </c>
      <c r="B6" s="21">
        <f>IFERROR(COUNTIF(Données_baux!W2:W11,"Non conforme")/COUNTA(Données_baux!A2:A11),0)</f>
        <v/>
      </c>
    </row>
    <row r="7">
      <c r="A7" s="18" t="inlineStr">
        <is>
          <t>Loyer moyen HC (€)</t>
        </is>
      </c>
      <c r="B7" s="22">
        <f>IFERROR(AVERAGE(Données_baux!O2:O11),0)</f>
        <v/>
      </c>
    </row>
    <row r="8">
      <c r="A8" s="20" t="inlineStr">
        <is>
          <t>Dépassement total (€)</t>
        </is>
      </c>
      <c r="B8" s="22">
        <f>SUM(Données_baux!U2:U11)</f>
        <v/>
      </c>
    </row>
    <row r="9">
      <c r="A9" s="18" t="inlineStr">
        <is>
          <t>Dépassement moyen (€)</t>
        </is>
      </c>
      <c r="B9" s="22">
        <f>IFERROR(AVERAGE(Données_baux!U2:U11),0)</f>
        <v/>
      </c>
    </row>
    <row r="10">
      <c r="A10" s="20" t="inlineStr">
        <is>
          <t>Baux avec complément de loyer</t>
        </is>
      </c>
      <c r="B10" s="19">
        <f>COUNTIF(Données_baux!S2:S11,"&gt;0")</f>
        <v/>
      </c>
    </row>
    <row r="11"/>
    <row r="12">
      <c r="A12" s="23" t="inlineStr">
        <is>
          <t>Répartition Conforme / Non conforme</t>
        </is>
      </c>
      <c r="B12" s="24" t="n"/>
    </row>
    <row r="13">
      <c r="A13" s="1" t="inlineStr">
        <is>
          <t>Statut</t>
        </is>
      </c>
      <c r="B13" s="1" t="inlineStr">
        <is>
          <t>Nombre</t>
        </is>
      </c>
    </row>
    <row r="14">
      <c r="A14" s="25" t="inlineStr">
        <is>
          <t>Conforme</t>
        </is>
      </c>
      <c r="B14" s="26">
        <f>COUNTIF(Données_baux!W2:W11,"Conforme")</f>
        <v/>
      </c>
    </row>
    <row r="15">
      <c r="A15" s="27" t="inlineStr">
        <is>
          <t>Non conforme</t>
        </is>
      </c>
      <c r="B15" s="26">
        <f>COUNTIF(Données_baux!W2:W11,"Non conforme")</f>
        <v/>
      </c>
    </row>
    <row r="16">
      <c r="A16" s="28" t="inlineStr">
        <is>
          <t>Zone encadrée</t>
        </is>
      </c>
      <c r="B16" s="26">
        <f>COUNTIF(Données_baux!L2:L11,"Oui")</f>
        <v/>
      </c>
    </row>
    <row r="17">
      <c r="A17" s="29" t="inlineStr">
        <is>
          <t>Hors zone encadrée</t>
        </is>
      </c>
      <c r="B17" s="26">
        <f>COUNTIF(Données_baux!L2:L11,"Non")</f>
        <v/>
      </c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>
      <c r="A33" s="23" t="inlineStr">
        <is>
          <t>Loyer HC moyen par locataire</t>
        </is>
      </c>
      <c r="B33" s="24" t="n"/>
    </row>
    <row r="34">
      <c r="A34" s="1" t="inlineStr">
        <is>
          <t>Locataire</t>
        </is>
      </c>
      <c r="B34" s="1" t="inlineStr">
        <is>
          <t>Loyer HC (€)</t>
        </is>
      </c>
      <c r="C34" s="1" t="inlineStr">
        <is>
          <t>Dépassement (€)</t>
        </is>
      </c>
    </row>
    <row r="35">
      <c r="A35" s="30" t="inlineStr">
        <is>
          <t>Camille Durand</t>
        </is>
      </c>
      <c r="B35" s="13">
        <f>Données_baux!O3</f>
        <v/>
      </c>
      <c r="C35" s="13">
        <f>Données_baux!U3</f>
        <v/>
      </c>
    </row>
    <row r="36">
      <c r="A36" s="31" t="inlineStr">
        <is>
          <t>Julien Moreau</t>
        </is>
      </c>
      <c r="B36" s="6">
        <f>Données_baux!O4</f>
        <v/>
      </c>
      <c r="C36" s="6">
        <f>Données_baux!U4</f>
        <v/>
      </c>
    </row>
    <row r="37">
      <c r="A37" s="30" t="inlineStr">
        <is>
          <t>Sophie Lefèvre</t>
        </is>
      </c>
      <c r="B37" s="13">
        <f>Données_baux!O5</f>
        <v/>
      </c>
      <c r="C37" s="13">
        <f>Données_baux!U5</f>
        <v/>
      </c>
    </row>
    <row r="38">
      <c r="A38" s="31" t="inlineStr">
        <is>
          <t>Thomas Bernard</t>
        </is>
      </c>
      <c r="B38" s="6">
        <f>Données_baux!O6</f>
        <v/>
      </c>
      <c r="C38" s="6">
        <f>Données_baux!U6</f>
        <v/>
      </c>
    </row>
    <row r="39">
      <c r="A39" s="30" t="inlineStr">
        <is>
          <t>Léa Martin</t>
        </is>
      </c>
      <c r="B39" s="13">
        <f>Données_baux!O7</f>
        <v/>
      </c>
      <c r="C39" s="13">
        <f>Données_baux!U7</f>
        <v/>
      </c>
    </row>
    <row r="40">
      <c r="A40" s="31" t="inlineStr">
        <is>
          <t>Nicolas Petit</t>
        </is>
      </c>
      <c r="B40" s="6">
        <f>Données_baux!O8</f>
        <v/>
      </c>
      <c r="C40" s="6">
        <f>Données_baux!U8</f>
        <v/>
      </c>
    </row>
    <row r="41">
      <c r="A41" s="30" t="inlineStr">
        <is>
          <t>Émilie Rousseau</t>
        </is>
      </c>
      <c r="B41" s="13">
        <f>Données_baux!O9</f>
        <v/>
      </c>
      <c r="C41" s="13">
        <f>Données_baux!U9</f>
        <v/>
      </c>
    </row>
    <row r="42">
      <c r="A42" s="31" t="inlineStr">
        <is>
          <t>Antoine Garcia</t>
        </is>
      </c>
      <c r="B42" s="6">
        <f>Données_baux!O10</f>
        <v/>
      </c>
      <c r="C42" s="6">
        <f>Données_baux!U10</f>
        <v/>
      </c>
    </row>
    <row r="43">
      <c r="A43" s="30" t="inlineStr">
        <is>
          <t>Manon Leroy</t>
        </is>
      </c>
      <c r="B43" s="13">
        <f>Données_baux!O11</f>
        <v/>
      </c>
      <c r="C43" s="13">
        <f>Données_baux!U11</f>
        <v/>
      </c>
    </row>
    <row r="44">
      <c r="A44" s="31" t="inlineStr">
        <is>
          <t>Hugo François</t>
        </is>
      </c>
      <c r="B44" s="6">
        <f>Données_baux!O12</f>
        <v/>
      </c>
      <c r="C44" s="6">
        <f>Données_baux!U12</f>
        <v/>
      </c>
    </row>
  </sheetData>
  <mergeCells count="3">
    <mergeCell ref="A1:H1"/>
    <mergeCell ref="A12:B12"/>
    <mergeCell ref="A33:B3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32" customHeight="1">
      <c r="A1" s="16" t="inlineStr">
        <is>
          <t>MODE D'EMPLOI — ENCADREMENT DES LOYERS</t>
        </is>
      </c>
      <c r="B1" s="24" t="n"/>
    </row>
    <row r="2" ht="22" customHeight="1">
      <c r="A2" s="17" t="inlineStr">
        <is>
          <t>PRINCIPE</t>
        </is>
      </c>
      <c r="B2" s="32" t="inlineStr"/>
    </row>
    <row r="3" ht="22" customHeight="1">
      <c r="A3" s="33" t="inlineStr">
        <is>
          <t>Loyer de référence</t>
        </is>
      </c>
      <c r="B3" s="30" t="inlineStr">
        <is>
          <t>Le loyer de référence est fixé par arrêté préfectoral pour chaque zone géographique, type de bien et superficie. Il est exprimé en €/m²/mois.</t>
        </is>
      </c>
    </row>
    <row r="4" ht="22" customHeight="1">
      <c r="A4" s="34" t="inlineStr">
        <is>
          <t>Loyer de référence majoré</t>
        </is>
      </c>
      <c r="B4" s="31" t="inlineStr">
        <is>
          <t>Le loyer de référence majoré = loyer de référence × 1,20. C'est le plafond légal au-delà duquel un bailleur ne peut pas louer, sauf complément de loyer justifié.</t>
        </is>
      </c>
    </row>
    <row r="5" ht="22" customHeight="1">
      <c r="A5" s="33" t="inlineStr">
        <is>
          <t>Loyer de référence minoré</t>
        </is>
      </c>
      <c r="B5" s="30" t="inlineStr">
        <is>
          <t>Le loyer de référence minoré = loyer de référence × 0,70. En dessous de ce montant, le locataire peut demander une réévaluation à la hausse.</t>
        </is>
      </c>
    </row>
    <row r="6" ht="22" customHeight="1">
      <c r="A6" s="34" t="inlineStr">
        <is>
          <t>Complément de loyer</t>
        </is>
      </c>
      <c r="B6" s="31" t="inlineStr">
        <is>
          <t>Un complément de loyer peut s'ajouter au loyer de référence majoré si le bien présente des caractéristiques exceptionnelles (vue, équipements, terrasse…). Il doit être mentionné explicitement dans le bail.</t>
        </is>
      </c>
    </row>
    <row r="7" ht="22" customHeight="1">
      <c r="A7" s="35" t="inlineStr"/>
      <c r="B7" s="36" t="inlineStr"/>
    </row>
    <row r="8" ht="22" customHeight="1">
      <c r="A8" s="17" t="inlineStr">
        <is>
          <t>SAISIE DES BAUX</t>
        </is>
      </c>
      <c r="B8" s="32" t="inlineStr"/>
    </row>
    <row r="9" ht="22" customHeight="1">
      <c r="A9" s="33" t="inlineStr">
        <is>
          <t>Feuille Données_baux</t>
        </is>
      </c>
      <c r="B9" s="30" t="inlineStr">
        <is>
          <t>Saisir les colonnes en jaune : Loyer_CC_€, Charges_€, Surface_m², Loyer_réf_m², Complément_loyer_€, Dépôt_garantie_€. Les autres colonnes sont calculées automatiquement.</t>
        </is>
      </c>
    </row>
    <row r="10" ht="22" customHeight="1">
      <c r="A10" s="34" t="inlineStr">
        <is>
          <t>Loyer HC</t>
        </is>
      </c>
      <c r="B10" s="31" t="inlineStr">
        <is>
          <t>Calculé automatiquement : Loyer_HC = Loyer_CC - Charges. Vérifiez la cohérence avec le bail signé.</t>
        </is>
      </c>
    </row>
    <row r="11" ht="22" customHeight="1">
      <c r="A11" s="33" t="inlineStr">
        <is>
          <t>Loyer réf. majoré</t>
        </is>
      </c>
      <c r="B11" s="30" t="inlineStr">
        <is>
          <t>Calculé : Loyer_réf_m² × 1,20. Multipliez par la surface pour obtenir le plafond en €.</t>
        </is>
      </c>
    </row>
    <row r="12" ht="22" customHeight="1">
      <c r="A12" s="34" t="inlineStr">
        <is>
          <t>Dépassement €</t>
        </is>
      </c>
      <c r="B12" s="31" t="inlineStr">
        <is>
          <t>MAX(0 ; Loyer_HC - (Loyer_réf_maj_m² × Surface) - Complément_loyer). Si &gt; 0, le bail est non conforme.</t>
        </is>
      </c>
    </row>
    <row r="13" ht="22" customHeight="1">
      <c r="A13" s="33" t="inlineStr">
        <is>
          <t>Statut conformité</t>
        </is>
      </c>
      <c r="B13" s="30" t="inlineStr">
        <is>
          <t>CONFORME si dépassement = 0 €. NON CONFORME si dépassement &gt; 0 €. La cellule est colorée automatiquement en vert ou rouge.</t>
        </is>
      </c>
    </row>
    <row r="14" ht="22" customHeight="1">
      <c r="A14" s="35" t="inlineStr"/>
      <c r="B14" s="36" t="inlineStr"/>
    </row>
    <row r="15" ht="22" customHeight="1">
      <c r="A15" s="17" t="inlineStr">
        <is>
          <t>BARÈMES</t>
        </is>
      </c>
      <c r="B15" s="32" t="inlineStr"/>
    </row>
    <row r="16" ht="22" customHeight="1">
      <c r="A16" s="34" t="inlineStr">
        <is>
          <t>Feuille Barèmes_Références</t>
        </is>
      </c>
      <c r="B16" s="31" t="inlineStr">
        <is>
          <t>Contient les loyers de référence officiels par ville, quartier, type de bien et période. Mettre à jour annuellement selon les arrêtés préfectoraux publiés.</t>
        </is>
      </c>
    </row>
    <row r="17" ht="22" customHeight="1">
      <c r="A17" s="35" t="inlineStr"/>
      <c r="B17" s="36" t="inlineStr"/>
    </row>
    <row r="18" ht="22" customHeight="1">
      <c r="A18" s="17" t="inlineStr">
        <is>
          <t>SYNTHÈSE</t>
        </is>
      </c>
      <c r="B18" s="32" t="inlineStr"/>
    </row>
    <row r="19" ht="22" customHeight="1">
      <c r="A19" s="33" t="inlineStr">
        <is>
          <t>Feuille Synthèse</t>
        </is>
      </c>
      <c r="B19" s="30" t="inlineStr">
        <is>
          <t>Tableau de bord automatique : KPI globaux, graphiques de répartition, comparatif loyers HC vs dépassements par locataire.</t>
        </is>
      </c>
    </row>
    <row r="20" ht="22" customHeight="1">
      <c r="A20" s="35" t="inlineStr"/>
      <c r="B20" s="36" t="inlineStr"/>
    </row>
    <row r="21" ht="22" customHeight="1">
      <c r="A21" s="17" t="inlineStr">
        <is>
          <t>CADRE LÉGAL</t>
        </is>
      </c>
      <c r="B21" s="32" t="inlineStr"/>
    </row>
    <row r="22" ht="22" customHeight="1">
      <c r="A22" s="34" t="inlineStr">
        <is>
          <t>Loi du 6 juillet 1989</t>
        </is>
      </c>
      <c r="B22" s="31" t="inlineStr">
        <is>
          <t>Régit les rapports locatifs pour les résidences principales. Toute clause contraire aux dispositions d'ordre public est réputée non écrite.</t>
        </is>
      </c>
    </row>
    <row r="23" ht="22" customHeight="1">
      <c r="A23" s="33" t="inlineStr">
        <is>
          <t>Villes concernées (2026)</t>
        </is>
      </c>
      <c r="B23" s="30" t="inlineStr">
        <is>
          <t>Paris et Petite Couronne, Lyon (Métropole), Bordeaux (Métropole), Lille (Métropole), Montpellier (en cours), Grenoble, Strasbourg. La liste évolue par décret.</t>
        </is>
      </c>
    </row>
    <row r="24" ht="22" customHeight="1">
      <c r="A24" s="34" t="inlineStr">
        <is>
          <t>Sanctions</t>
        </is>
      </c>
      <c r="B24" s="31" t="inlineStr">
        <is>
          <t>En cas de loyer supérieur au loyer de référence majoré sans complément justifié, le locataire peut saisir la Commission Départementale de Conciliation (CDC) ou le juge des contentieux de la protection.</t>
        </is>
      </c>
    </row>
    <row r="25" ht="22" customHeight="1">
      <c r="A25" s="33" t="inlineStr">
        <is>
          <t>Révision annuelle</t>
        </is>
      </c>
      <c r="B25" s="30" t="inlineStr">
        <is>
          <t>Le loyer peut être révisé une fois par an selon l'IRL (Indice de Référence des Loyers) publié par l'INSEE chaque trimestre.</t>
        </is>
      </c>
    </row>
    <row r="26" ht="22" customHeight="1">
      <c r="A26" s="35" t="inlineStr"/>
      <c r="B26" s="36" t="inlineStr"/>
    </row>
    <row r="27" ht="22" customHeight="1">
      <c r="A27" s="17" t="inlineStr">
        <is>
          <t>CONTACT</t>
        </is>
      </c>
      <c r="B27" s="32" t="inlineStr">
        <is>
          <t>Pour toute question réglementaire, consulter l'ADIL (Agence Départementale d'Information sur le Logement) de votre département — www.anil.org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2026-06-19T14:38:21Z</dcterms:created>
  <dcterms:modified xmlns:dcterms="http://purl.org/dc/terms/" xmlns:xsi="http://www.w3.org/2001/XMLSchema-instance" xsi:type="dcterms:W3CDTF">2026-06-19T14:38:21Z</dcterms:modified>
</cp:coreProperties>
</file>