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amètres" sheetId="1" state="visible" r:id="rId1"/>
    <sheet xmlns:r="http://schemas.openxmlformats.org/officeDocument/2006/relationships" name="Tableau amortissement" sheetId="2" state="visible" r:id="rId2"/>
    <sheet xmlns:r="http://schemas.openxmlformats.org/officeDocument/2006/relationships" name="Synthè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 ##0,00 €"/>
    <numFmt numFmtId="165" formatCode="0,00 %"/>
    <numFmt numFmtId="166" formatCode="DD/MM/AAAA"/>
    <numFmt numFmtId="167" formatCode="0,0"/>
  </numFmts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</font>
    <font>
      <i val="1"/>
      <color rgb="006B7280"/>
      <sz val="9"/>
    </font>
    <font>
      <b val="1"/>
      <color rgb="00DC2626"/>
    </font>
    <font>
      <b val="1"/>
      <color rgb="0016A34A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E7490"/>
      </patternFill>
    </fill>
    <fill>
      <patternFill patternType="solid">
        <fgColor rgb="00FFFBEB"/>
      </patternFill>
    </fill>
    <fill>
      <patternFill patternType="solid">
        <fgColor rgb="00E0F2F1"/>
      </patternFill>
    </fill>
    <fill>
      <patternFill patternType="solid">
        <fgColor rgb="00F8FAFC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1" pivotButton="0" quotePrefix="0" xfId="0"/>
    <xf numFmtId="0" fontId="0" fillId="4" borderId="1" pivotButton="0" quotePrefix="0" xfId="0"/>
    <xf numFmtId="0" fontId="0" fillId="0" borderId="1" pivotButton="0" quotePrefix="0" xfId="0"/>
    <xf numFmtId="164" fontId="0" fillId="4" borderId="1" pivotButton="0" quotePrefix="0" xfId="0"/>
    <xf numFmtId="165" fontId="0" fillId="4" borderId="1" pivotButton="0" quotePrefix="0" xfId="0"/>
    <xf numFmtId="1" fontId="0" fillId="4" borderId="1" pivotButton="0" quotePrefix="0" xfId="0"/>
    <xf numFmtId="166" fontId="0" fillId="4" borderId="1" pivotButton="0" quotePrefix="0" xfId="0"/>
    <xf numFmtId="165" fontId="0" fillId="5" borderId="1" pivotButton="0" quotePrefix="0" xfId="0"/>
    <xf numFmtId="1" fontId="0" fillId="5" borderId="1" pivotButton="0" quotePrefix="0" xfId="0"/>
    <xf numFmtId="164" fontId="0" fillId="5" borderId="1" pivotButton="0" quotePrefix="0" xfId="0"/>
    <xf numFmtId="0" fontId="4" fillId="0" borderId="0" pivotButton="0" quotePrefix="0" xfId="0"/>
    <xf numFmtId="0" fontId="2" fillId="2" borderId="1" applyAlignment="1" pivotButton="0" quotePrefix="0" xfId="0">
      <alignment horizontal="center" vertical="center"/>
    </xf>
    <xf numFmtId="1" fontId="0" fillId="6" borderId="1" applyAlignment="1" pivotButton="0" quotePrefix="0" xfId="0">
      <alignment horizontal="center" vertical="center"/>
    </xf>
    <xf numFmtId="166" fontId="0" fillId="6" borderId="1" applyAlignment="1" pivotButton="0" quotePrefix="0" xfId="0">
      <alignment horizontal="center" vertical="center"/>
    </xf>
    <xf numFmtId="164" fontId="0" fillId="6" borderId="1" pivotButton="0" quotePrefix="0" xfId="0"/>
    <xf numFmtId="0" fontId="0" fillId="6" borderId="1" applyAlignment="1" pivotButton="0" quotePrefix="0" xfId="0">
      <alignment horizontal="center" vertical="center"/>
    </xf>
    <xf numFmtId="1" fontId="0" fillId="7" borderId="1" applyAlignment="1" pivotButton="0" quotePrefix="0" xfId="0">
      <alignment horizontal="center" vertical="center"/>
    </xf>
    <xf numFmtId="166" fontId="0" fillId="7" borderId="1" applyAlignment="1" pivotButton="0" quotePrefix="0" xfId="0">
      <alignment horizontal="center" vertical="center"/>
    </xf>
    <xf numFmtId="164" fontId="0" fillId="7" borderId="1" pivotButton="0" quotePrefix="0" xfId="0"/>
    <xf numFmtId="0" fontId="0" fillId="7" borderId="1" applyAlignment="1" pivotButton="0" quotePrefix="0" xfId="0">
      <alignment horizontal="center" vertical="center"/>
    </xf>
    <xf numFmtId="0" fontId="2" fillId="2" borderId="1" pivotButton="0" quotePrefix="0" xfId="0"/>
    <xf numFmtId="0" fontId="0" fillId="2" borderId="1" pivotButton="0" quotePrefix="0" xfId="0"/>
    <xf numFmtId="164" fontId="2" fillId="2" borderId="1" pivotButton="0" quotePrefix="0" xfId="0"/>
    <xf numFmtId="0" fontId="0" fillId="6" borderId="1" pivotButton="0" quotePrefix="0" xfId="0"/>
    <xf numFmtId="164" fontId="0" fillId="6" borderId="1" applyAlignment="1" pivotButton="0" quotePrefix="0" xfId="0">
      <alignment horizontal="right" vertical="center"/>
    </xf>
    <xf numFmtId="0" fontId="0" fillId="7" borderId="1" pivotButton="0" quotePrefix="0" xfId="0"/>
    <xf numFmtId="164" fontId="0" fillId="7" borderId="1" applyAlignment="1" pivotButton="0" quotePrefix="0" xfId="0">
      <alignment horizontal="right" vertical="center"/>
    </xf>
    <xf numFmtId="164" fontId="5" fillId="7" borderId="1" applyAlignment="1" pivotButton="0" quotePrefix="0" xfId="0">
      <alignment horizontal="right" vertical="center"/>
    </xf>
    <xf numFmtId="164" fontId="6" fillId="6" borderId="1" applyAlignment="1" pivotButton="0" quotePrefix="0" xfId="0">
      <alignment horizontal="right" vertical="center"/>
    </xf>
    <xf numFmtId="167" fontId="0" fillId="7" borderId="1" applyAlignment="1" pivotButton="0" quotePrefix="0" xfId="0">
      <alignment horizontal="right" vertical="center"/>
    </xf>
    <xf numFmtId="165" fontId="0" fillId="7" borderId="1" applyAlignment="1" pivotButton="0" quotePrefix="0" xfId="0">
      <alignment horizontal="right" vertical="center"/>
    </xf>
    <xf numFmtId="164" fontId="0" fillId="4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1" fontId="0" fillId="7" borderId="1" applyAlignment="1" pivotButton="0" quotePrefix="0" xfId="0">
      <alignment horizontal="right" vertical="center"/>
    </xf>
    <xf numFmtId="164" fontId="0" fillId="0" borderId="1" pivotButton="0" quotePrefix="0" xfId="0"/>
    <xf numFmtId="166" fontId="0" fillId="4" borderId="1" pivotButton="0" quotePrefix="0" xfId="0"/>
    <xf numFmtId="166" fontId="0" fillId="6" borderId="1" applyAlignment="1" pivotButton="0" quotePrefix="0" xfId="0">
      <alignment horizontal="center" vertical="center"/>
    </xf>
    <xf numFmtId="166" fontId="0" fillId="7" borderId="1" applyAlignment="1" pivotButton="0" quotePrefix="0" xfId="0">
      <alignment horizontal="center" vertical="center"/>
    </xf>
    <xf numFmtId="167" fontId="0" fillId="7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capital restant dû</a:t>
            </a:r>
          </a:p>
        </rich>
      </tx>
    </title>
    <plotArea>
      <lineChart>
        <grouping val="standard"/>
        <ser>
          <idx val="0"/>
          <order val="0"/>
          <tx>
            <strRef>
              <f>'Tableau amortissement'!I2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'Tableau amortissement'!$B$3:$B$12</f>
            </numRef>
          </cat>
          <val>
            <numRef>
              <f>'Tableau amortissement'!$I$3:$I$12</f>
            </numRef>
          </val>
          <smooth val="0"/>
        </ser>
        <ser>
          <idx val="1"/>
          <order val="1"/>
          <tx>
            <strRef>
              <f>'Tableau amortissement'!K2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'Tableau amortissement'!$B$3:$B$12</f>
            </numRef>
          </cat>
          <val>
            <numRef>
              <f>'Tableau amortissement'!$K$3:$K$12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Échéances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Capital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Intérêts totaux restants : sans / avec remboursement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'Synthèse'!$A$23:$A$24</f>
            </numRef>
          </cat>
          <val>
            <numRef>
              <f>'Synthèse'!$B$23:$B$24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Intérêts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d'une mensualité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'Synthèse'!$A$27:$A$29</f>
            </numRef>
          </cat>
          <val>
            <numRef>
              <f>'Synthèse'!$B$27:$B$29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20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20</row>
      <rowOff>0</rowOff>
    </from>
    <ext cx="36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40" customWidth="1" min="1" max="1"/>
    <col width="32" customWidth="1" min="2" max="2"/>
    <col width="4" customWidth="1" min="3" max="3"/>
  </cols>
  <sheetData>
    <row r="1" ht="26" customHeight="1">
      <c r="A1" s="1" t="inlineStr">
        <is>
          <t>Simulation de remboursement anticipé — Paramètres du prêt</t>
        </is>
      </c>
    </row>
    <row r="2"/>
    <row r="3">
      <c r="A3" s="3" t="inlineStr">
        <is>
          <t>Informations du prêt</t>
        </is>
      </c>
      <c r="B3" s="4" t="n"/>
      <c r="C3" s="4" t="n"/>
    </row>
    <row r="4">
      <c r="A4" s="5" t="inlineStr">
        <is>
          <t>Emprunteur</t>
        </is>
      </c>
      <c r="B4" s="6" t="inlineStr">
        <is>
          <t>Camille Durand</t>
        </is>
      </c>
      <c r="C4" s="7" t="n"/>
    </row>
    <row r="5">
      <c r="A5" s="5" t="inlineStr">
        <is>
          <t>Bien immobilier</t>
        </is>
      </c>
      <c r="B5" s="6" t="inlineStr">
        <is>
          <t>Appartement T3</t>
        </is>
      </c>
      <c r="C5" s="7" t="n"/>
    </row>
    <row r="6">
      <c r="A6" s="5" t="inlineStr">
        <is>
          <t>Adresse du bien</t>
        </is>
      </c>
      <c r="B6" s="6" t="inlineStr">
        <is>
          <t>24 cours Gambetta, 33000 Bordeaux</t>
        </is>
      </c>
      <c r="C6" s="7" t="n"/>
    </row>
    <row r="7">
      <c r="A7" s="5" t="inlineStr">
        <is>
          <t>Prêteur</t>
        </is>
      </c>
      <c r="B7" s="6" t="inlineStr">
        <is>
          <t>Banque Exemple</t>
        </is>
      </c>
      <c r="C7" s="7" t="n"/>
    </row>
    <row r="8">
      <c r="A8" s="5" t="inlineStr">
        <is>
          <t>Capital initial</t>
        </is>
      </c>
      <c r="B8" s="8" t="n">
        <v>250000</v>
      </c>
      <c r="C8" s="7" t="n"/>
    </row>
    <row r="9">
      <c r="A9" s="5" t="inlineStr">
        <is>
          <t>Taux nominal annuel</t>
        </is>
      </c>
      <c r="B9" s="9" t="n">
        <v>0.0355</v>
      </c>
      <c r="C9" s="7" t="n"/>
    </row>
    <row r="10">
      <c r="A10" s="5" t="inlineStr">
        <is>
          <t>Durée initiale (années)</t>
        </is>
      </c>
      <c r="B10" s="10" t="n">
        <v>20</v>
      </c>
      <c r="C10" s="7" t="n"/>
    </row>
    <row r="11">
      <c r="A11" s="5" t="inlineStr">
        <is>
          <t>Date de déblocage</t>
        </is>
      </c>
      <c r="B11" s="40" t="n">
        <v>46054</v>
      </c>
      <c r="C11" s="7" t="n"/>
    </row>
    <row r="12">
      <c r="A12" s="5" t="inlineStr">
        <is>
          <t>Date de première échéance</t>
        </is>
      </c>
      <c r="B12" s="40" t="n">
        <v>46082</v>
      </c>
      <c r="C12" s="7" t="n"/>
    </row>
    <row r="13">
      <c r="A13" s="5" t="inlineStr">
        <is>
          <t>Type de prêt</t>
        </is>
      </c>
      <c r="B13" s="6" t="inlineStr">
        <is>
          <t>Prêt amortissable</t>
        </is>
      </c>
      <c r="C13" s="7" t="n"/>
    </row>
    <row r="14">
      <c r="A14" s="5" t="inlineStr">
        <is>
          <t>Assurance mensuelle</t>
        </is>
      </c>
      <c r="B14" s="8" t="n">
        <v>32</v>
      </c>
      <c r="C14" s="7" t="n"/>
    </row>
    <row r="15">
      <c r="A15" s="5" t="inlineStr">
        <is>
          <t>Type de remboursement anticipé</t>
        </is>
      </c>
      <c r="B15" s="6" t="inlineStr">
        <is>
          <t>Partiel</t>
        </is>
      </c>
      <c r="C15" s="7" t="n"/>
    </row>
    <row r="16">
      <c r="A16" s="5" t="inlineStr">
        <is>
          <t>Date du remboursement anticipé</t>
        </is>
      </c>
      <c r="B16" s="40" t="n">
        <v>46235</v>
      </c>
      <c r="C16" s="7" t="n"/>
    </row>
    <row r="17">
      <c r="A17" s="5" t="inlineStr">
        <is>
          <t>Montant du remboursement partiel</t>
        </is>
      </c>
      <c r="B17" s="8" t="n">
        <v>50000</v>
      </c>
      <c r="C17" s="7" t="n"/>
    </row>
    <row r="18">
      <c r="A18" s="5" t="inlineStr">
        <is>
          <t>Option après remboursement partiel</t>
        </is>
      </c>
      <c r="B18" s="6" t="inlineStr">
        <is>
          <t>Réduire la mensualité</t>
        </is>
      </c>
      <c r="C18" s="7" t="n"/>
    </row>
    <row r="19">
      <c r="A19" s="5" t="inlineStr">
        <is>
          <t>Taux d'IRA prévu au contrat</t>
        </is>
      </c>
      <c r="B19" s="9" t="n">
        <v>0.03</v>
      </c>
      <c r="C19" s="7" t="n"/>
    </row>
    <row r="20"/>
    <row r="21">
      <c r="A21" s="3" t="inlineStr">
        <is>
          <t>Calculs automatiques</t>
        </is>
      </c>
      <c r="B21" s="4" t="n"/>
      <c r="C21" s="4" t="n"/>
    </row>
    <row r="22">
      <c r="A22" s="5" t="inlineStr">
        <is>
          <t>Taux mensuel</t>
        </is>
      </c>
      <c r="B22" s="12">
        <f>B9/12</f>
        <v/>
      </c>
      <c r="C22" s="7" t="n"/>
    </row>
    <row r="23">
      <c r="A23" s="5" t="inlineStr">
        <is>
          <t>Nombre total d'échéances</t>
        </is>
      </c>
      <c r="B23" s="13">
        <f>B10*12</f>
        <v/>
      </c>
      <c r="C23" s="7" t="n"/>
    </row>
    <row r="24">
      <c r="A24" s="5" t="inlineStr">
        <is>
          <t>Mensualité hors assurance</t>
        </is>
      </c>
      <c r="B24" s="14">
        <f>B8*B22/(1-(1+B22)^(-B23))</f>
        <v/>
      </c>
      <c r="C24" s="7" t="n"/>
    </row>
    <row r="25">
      <c r="A25" s="5" t="inlineStr">
        <is>
          <t>Capital restant dû à la date choisie</t>
        </is>
      </c>
      <c r="B25" s="14">
        <f>IFERROR(VLOOKUP(B16,'Tableau amortissement'!B3:I12,8,FALSE),B8)</f>
        <v/>
      </c>
      <c r="C25" s="7" t="n"/>
    </row>
    <row r="26">
      <c r="A26" s="5" t="inlineStr">
        <is>
          <t>Plafond légal indicatif des IRA</t>
        </is>
      </c>
      <c r="B26" s="14">
        <f>MIN(B25*B9/2,B25*0.03)</f>
        <v/>
      </c>
      <c r="C26" s="7" t="n"/>
    </row>
    <row r="27">
      <c r="A27" s="5" t="inlineStr">
        <is>
          <t>IRA estimée</t>
        </is>
      </c>
      <c r="B27" s="14">
        <f>MIN(B25*B19,B26)</f>
        <v/>
      </c>
      <c r="C27" s="7" t="n"/>
    </row>
    <row r="28"/>
    <row r="29">
      <c r="A29" s="15" t="inlineStr">
        <is>
          <t>Note : le plafond des IRA correspond au minimum entre 6 mois d'intérêts et 3 % du capital restant dû. Les IRA doivent être vérifiées dans l'offre de prêt et selon les dispositions applicables du Code de la consommation (art. L.313-47 et R.313-25).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20" customWidth="1" min="3" max="3"/>
    <col width="20" customWidth="1" min="4" max="4"/>
    <col width="12" customWidth="1" min="5" max="5"/>
    <col width="14" customWidth="1" min="6" max="6"/>
    <col width="11" customWidth="1" min="7" max="7"/>
    <col width="15" customWidth="1" min="8" max="8"/>
    <col width="16" customWidth="1" min="9" max="9"/>
    <col width="19" customWidth="1" min="10" max="10"/>
    <col width="22" customWidth="1" min="11" max="11"/>
    <col width="21" customWidth="1" min="12" max="12"/>
    <col width="15" customWidth="1" min="13" max="13"/>
    <col width="19" customWidth="1" min="14" max="14"/>
  </cols>
  <sheetData>
    <row r="1" ht="26" customHeight="1">
      <c r="A1" s="1" t="inlineStr">
        <is>
          <t>Tableau d'amortissement — échéances de mars à décembre 2026</t>
        </is>
      </c>
    </row>
    <row r="2" ht="32" customHeight="1">
      <c r="A2" s="16" t="inlineStr">
        <is>
          <t>N° échéance</t>
        </is>
      </c>
      <c r="B2" s="16" t="inlineStr">
        <is>
          <t>Date échéance</t>
        </is>
      </c>
      <c r="C2" s="16" t="inlineStr">
        <is>
          <t>Capital début de période</t>
        </is>
      </c>
      <c r="D2" s="16" t="inlineStr">
        <is>
          <t>Mensualité hors assurance</t>
        </is>
      </c>
      <c r="E2" s="16" t="inlineStr">
        <is>
          <t>Intérêts</t>
        </is>
      </c>
      <c r="F2" s="16" t="inlineStr">
        <is>
          <t>Capital amorti</t>
        </is>
      </c>
      <c r="G2" s="16" t="inlineStr">
        <is>
          <t>Assurance</t>
        </is>
      </c>
      <c r="H2" s="16" t="inlineStr">
        <is>
          <t>Mensualité totale</t>
        </is>
      </c>
      <c r="I2" s="16" t="inlineStr">
        <is>
          <t>Capital restant dû</t>
        </is>
      </c>
      <c r="J2" s="16" t="inlineStr">
        <is>
          <t>Remboursement anticipé</t>
        </is>
      </c>
      <c r="K2" s="16" t="inlineStr">
        <is>
          <t>Capital restant après opération</t>
        </is>
      </c>
      <c r="L2" s="16" t="inlineStr">
        <is>
          <t>Statut</t>
        </is>
      </c>
      <c r="M2" s="16" t="inlineStr">
        <is>
          <t>Intérêts cumulés</t>
        </is>
      </c>
      <c r="N2" s="16" t="inlineStr">
        <is>
          <t>Capital amorti cumulé</t>
        </is>
      </c>
    </row>
    <row r="3">
      <c r="A3" s="17">
        <f>1</f>
        <v/>
      </c>
      <c r="B3" s="41">
        <f>Paramètres!B12</f>
        <v/>
      </c>
      <c r="C3" s="19">
        <f>Paramètres!B8</f>
        <v/>
      </c>
      <c r="D3" s="19">
        <f>Paramètres!$B$24</f>
        <v/>
      </c>
      <c r="E3" s="19">
        <f>C3*Paramètres!$B$22</f>
        <v/>
      </c>
      <c r="F3" s="19">
        <f>D3-E3</f>
        <v/>
      </c>
      <c r="G3" s="19">
        <f>Paramètres!$B$14</f>
        <v/>
      </c>
      <c r="H3" s="19">
        <f>D3+G3</f>
        <v/>
      </c>
      <c r="I3" s="19">
        <f>MAX(0,C3-F3)</f>
        <v/>
      </c>
      <c r="J3" s="19">
        <f>IF(B3=Paramètres!$B$16,Paramètres!$B$17,0)</f>
        <v/>
      </c>
      <c r="K3" s="19">
        <f>MAX(0,I3-J3)</f>
        <v/>
      </c>
      <c r="L3" s="20">
        <f>IF(J3&gt;0,"Remboursement anticipé","Échéance normale")</f>
        <v/>
      </c>
      <c r="M3" s="19">
        <f>SUM($E$3:E3)</f>
        <v/>
      </c>
      <c r="N3" s="19">
        <f>SUM($F$3:F3)</f>
        <v/>
      </c>
    </row>
    <row r="4">
      <c r="A4" s="21">
        <f>A3+1</f>
        <v/>
      </c>
      <c r="B4" s="42">
        <f>DATE(YEAR(B3),MONTH(B3)+1,DAY(B3))</f>
        <v/>
      </c>
      <c r="C4" s="23">
        <f>K3</f>
        <v/>
      </c>
      <c r="D4" s="23">
        <f>Paramètres!$B$24</f>
        <v/>
      </c>
      <c r="E4" s="23">
        <f>C4*Paramètres!$B$22</f>
        <v/>
      </c>
      <c r="F4" s="23">
        <f>D4-E4</f>
        <v/>
      </c>
      <c r="G4" s="23">
        <f>Paramètres!$B$14</f>
        <v/>
      </c>
      <c r="H4" s="23">
        <f>D4+G4</f>
        <v/>
      </c>
      <c r="I4" s="23">
        <f>MAX(0,C4-F4)</f>
        <v/>
      </c>
      <c r="J4" s="23">
        <f>IF(B4=Paramètres!$B$16,Paramètres!$B$17,0)</f>
        <v/>
      </c>
      <c r="K4" s="23">
        <f>MAX(0,I4-J4)</f>
        <v/>
      </c>
      <c r="L4" s="24">
        <f>IF(J4&gt;0,"Remboursement anticipé","Échéance normale")</f>
        <v/>
      </c>
      <c r="M4" s="23">
        <f>SUM($E$3:E4)</f>
        <v/>
      </c>
      <c r="N4" s="23">
        <f>SUM($F$3:F4)</f>
        <v/>
      </c>
    </row>
    <row r="5">
      <c r="A5" s="17">
        <f>A4+1</f>
        <v/>
      </c>
      <c r="B5" s="41">
        <f>DATE(YEAR(B4),MONTH(B4)+1,DAY(B4))</f>
        <v/>
      </c>
      <c r="C5" s="19">
        <f>K4</f>
        <v/>
      </c>
      <c r="D5" s="19">
        <f>Paramètres!$B$24</f>
        <v/>
      </c>
      <c r="E5" s="19">
        <f>C5*Paramètres!$B$22</f>
        <v/>
      </c>
      <c r="F5" s="19">
        <f>D5-E5</f>
        <v/>
      </c>
      <c r="G5" s="19">
        <f>Paramètres!$B$14</f>
        <v/>
      </c>
      <c r="H5" s="19">
        <f>D5+G5</f>
        <v/>
      </c>
      <c r="I5" s="19">
        <f>MAX(0,C5-F5)</f>
        <v/>
      </c>
      <c r="J5" s="19">
        <f>IF(B5=Paramètres!$B$16,Paramètres!$B$17,0)</f>
        <v/>
      </c>
      <c r="K5" s="19">
        <f>MAX(0,I5-J5)</f>
        <v/>
      </c>
      <c r="L5" s="20">
        <f>IF(J5&gt;0,"Remboursement anticipé","Échéance normale")</f>
        <v/>
      </c>
      <c r="M5" s="19">
        <f>SUM($E$3:E5)</f>
        <v/>
      </c>
      <c r="N5" s="19">
        <f>SUM($F$3:F5)</f>
        <v/>
      </c>
    </row>
    <row r="6">
      <c r="A6" s="21">
        <f>A5+1</f>
        <v/>
      </c>
      <c r="B6" s="42">
        <f>DATE(YEAR(B5),MONTH(B5)+1,DAY(B5))</f>
        <v/>
      </c>
      <c r="C6" s="23">
        <f>K5</f>
        <v/>
      </c>
      <c r="D6" s="23">
        <f>Paramètres!$B$24</f>
        <v/>
      </c>
      <c r="E6" s="23">
        <f>C6*Paramètres!$B$22</f>
        <v/>
      </c>
      <c r="F6" s="23">
        <f>D6-E6</f>
        <v/>
      </c>
      <c r="G6" s="23">
        <f>Paramètres!$B$14</f>
        <v/>
      </c>
      <c r="H6" s="23">
        <f>D6+G6</f>
        <v/>
      </c>
      <c r="I6" s="23">
        <f>MAX(0,C6-F6)</f>
        <v/>
      </c>
      <c r="J6" s="23">
        <f>IF(B6=Paramètres!$B$16,Paramètres!$B$17,0)</f>
        <v/>
      </c>
      <c r="K6" s="23">
        <f>MAX(0,I6-J6)</f>
        <v/>
      </c>
      <c r="L6" s="24">
        <f>IF(J6&gt;0,"Remboursement anticipé","Échéance normale")</f>
        <v/>
      </c>
      <c r="M6" s="23">
        <f>SUM($E$3:E6)</f>
        <v/>
      </c>
      <c r="N6" s="23">
        <f>SUM($F$3:F6)</f>
        <v/>
      </c>
    </row>
    <row r="7">
      <c r="A7" s="17">
        <f>A6+1</f>
        <v/>
      </c>
      <c r="B7" s="41">
        <f>DATE(YEAR(B6),MONTH(B6)+1,DAY(B6))</f>
        <v/>
      </c>
      <c r="C7" s="19">
        <f>K6</f>
        <v/>
      </c>
      <c r="D7" s="19">
        <f>Paramètres!$B$24</f>
        <v/>
      </c>
      <c r="E7" s="19">
        <f>C7*Paramètres!$B$22</f>
        <v/>
      </c>
      <c r="F7" s="19">
        <f>D7-E7</f>
        <v/>
      </c>
      <c r="G7" s="19">
        <f>Paramètres!$B$14</f>
        <v/>
      </c>
      <c r="H7" s="19">
        <f>D7+G7</f>
        <v/>
      </c>
      <c r="I7" s="19">
        <f>MAX(0,C7-F7)</f>
        <v/>
      </c>
      <c r="J7" s="19">
        <f>IF(B7=Paramètres!$B$16,Paramètres!$B$17,0)</f>
        <v/>
      </c>
      <c r="K7" s="19">
        <f>MAX(0,I7-J7)</f>
        <v/>
      </c>
      <c r="L7" s="20">
        <f>IF(J7&gt;0,"Remboursement anticipé","Échéance normale")</f>
        <v/>
      </c>
      <c r="M7" s="19">
        <f>SUM($E$3:E7)</f>
        <v/>
      </c>
      <c r="N7" s="19">
        <f>SUM($F$3:F7)</f>
        <v/>
      </c>
    </row>
    <row r="8">
      <c r="A8" s="21">
        <f>A7+1</f>
        <v/>
      </c>
      <c r="B8" s="42">
        <f>DATE(YEAR(B7),MONTH(B7)+1,DAY(B7))</f>
        <v/>
      </c>
      <c r="C8" s="23">
        <f>K7</f>
        <v/>
      </c>
      <c r="D8" s="23">
        <f>Paramètres!$B$24</f>
        <v/>
      </c>
      <c r="E8" s="23">
        <f>C8*Paramètres!$B$22</f>
        <v/>
      </c>
      <c r="F8" s="23">
        <f>D8-E8</f>
        <v/>
      </c>
      <c r="G8" s="23">
        <f>Paramètres!$B$14</f>
        <v/>
      </c>
      <c r="H8" s="23">
        <f>D8+G8</f>
        <v/>
      </c>
      <c r="I8" s="23">
        <f>MAX(0,C8-F8)</f>
        <v/>
      </c>
      <c r="J8" s="23">
        <f>IF(B8=Paramètres!$B$16,Paramètres!$B$17,0)</f>
        <v/>
      </c>
      <c r="K8" s="23">
        <f>MAX(0,I8-J8)</f>
        <v/>
      </c>
      <c r="L8" s="24">
        <f>IF(J8&gt;0,"Remboursement anticipé","Échéance normale")</f>
        <v/>
      </c>
      <c r="M8" s="23">
        <f>SUM($E$3:E8)</f>
        <v/>
      </c>
      <c r="N8" s="23">
        <f>SUM($F$3:F8)</f>
        <v/>
      </c>
    </row>
    <row r="9">
      <c r="A9" s="17">
        <f>A8+1</f>
        <v/>
      </c>
      <c r="B9" s="41">
        <f>DATE(YEAR(B8),MONTH(B8)+1,DAY(B8))</f>
        <v/>
      </c>
      <c r="C9" s="19">
        <f>K8</f>
        <v/>
      </c>
      <c r="D9" s="19">
        <f>Paramètres!$B$24</f>
        <v/>
      </c>
      <c r="E9" s="19">
        <f>C9*Paramètres!$B$22</f>
        <v/>
      </c>
      <c r="F9" s="19">
        <f>D9-E9</f>
        <v/>
      </c>
      <c r="G9" s="19">
        <f>Paramètres!$B$14</f>
        <v/>
      </c>
      <c r="H9" s="19">
        <f>D9+G9</f>
        <v/>
      </c>
      <c r="I9" s="19">
        <f>MAX(0,C9-F9)</f>
        <v/>
      </c>
      <c r="J9" s="19">
        <f>IF(B9=Paramètres!$B$16,Paramètres!$B$17,0)</f>
        <v/>
      </c>
      <c r="K9" s="19">
        <f>MAX(0,I9-J9)</f>
        <v/>
      </c>
      <c r="L9" s="20">
        <f>IF(J9&gt;0,"Remboursement anticipé","Échéance normale")</f>
        <v/>
      </c>
      <c r="M9" s="19">
        <f>SUM($E$3:E9)</f>
        <v/>
      </c>
      <c r="N9" s="19">
        <f>SUM($F$3:F9)</f>
        <v/>
      </c>
    </row>
    <row r="10">
      <c r="A10" s="21">
        <f>A9+1</f>
        <v/>
      </c>
      <c r="B10" s="42">
        <f>DATE(YEAR(B9),MONTH(B9)+1,DAY(B9))</f>
        <v/>
      </c>
      <c r="C10" s="23">
        <f>K9</f>
        <v/>
      </c>
      <c r="D10" s="23">
        <f>Paramètres!$B$24</f>
        <v/>
      </c>
      <c r="E10" s="23">
        <f>C10*Paramètres!$B$22</f>
        <v/>
      </c>
      <c r="F10" s="23">
        <f>D10-E10</f>
        <v/>
      </c>
      <c r="G10" s="23">
        <f>Paramètres!$B$14</f>
        <v/>
      </c>
      <c r="H10" s="23">
        <f>D10+G10</f>
        <v/>
      </c>
      <c r="I10" s="23">
        <f>MAX(0,C10-F10)</f>
        <v/>
      </c>
      <c r="J10" s="23">
        <f>IF(B10=Paramètres!$B$16,Paramètres!$B$17,0)</f>
        <v/>
      </c>
      <c r="K10" s="23">
        <f>MAX(0,I10-J10)</f>
        <v/>
      </c>
      <c r="L10" s="24">
        <f>IF(J10&gt;0,"Remboursement anticipé","Échéance normale")</f>
        <v/>
      </c>
      <c r="M10" s="23">
        <f>SUM($E$3:E10)</f>
        <v/>
      </c>
      <c r="N10" s="23">
        <f>SUM($F$3:F10)</f>
        <v/>
      </c>
    </row>
    <row r="11">
      <c r="A11" s="17">
        <f>A10+1</f>
        <v/>
      </c>
      <c r="B11" s="41">
        <f>DATE(YEAR(B10),MONTH(B10)+1,DAY(B10))</f>
        <v/>
      </c>
      <c r="C11" s="19">
        <f>K10</f>
        <v/>
      </c>
      <c r="D11" s="19">
        <f>Paramètres!$B$24</f>
        <v/>
      </c>
      <c r="E11" s="19">
        <f>C11*Paramètres!$B$22</f>
        <v/>
      </c>
      <c r="F11" s="19">
        <f>D11-E11</f>
        <v/>
      </c>
      <c r="G11" s="19">
        <f>Paramètres!$B$14</f>
        <v/>
      </c>
      <c r="H11" s="19">
        <f>D11+G11</f>
        <v/>
      </c>
      <c r="I11" s="19">
        <f>MAX(0,C11-F11)</f>
        <v/>
      </c>
      <c r="J11" s="19">
        <f>IF(B11=Paramètres!$B$16,Paramètres!$B$17,0)</f>
        <v/>
      </c>
      <c r="K11" s="19">
        <f>MAX(0,I11-J11)</f>
        <v/>
      </c>
      <c r="L11" s="20">
        <f>IF(J11&gt;0,"Remboursement anticipé","Échéance normale")</f>
        <v/>
      </c>
      <c r="M11" s="19">
        <f>SUM($E$3:E11)</f>
        <v/>
      </c>
      <c r="N11" s="19">
        <f>SUM($F$3:F11)</f>
        <v/>
      </c>
    </row>
    <row r="12">
      <c r="A12" s="21">
        <f>A11+1</f>
        <v/>
      </c>
      <c r="B12" s="42">
        <f>DATE(YEAR(B11),MONTH(B11)+1,DAY(B11))</f>
        <v/>
      </c>
      <c r="C12" s="23">
        <f>K11</f>
        <v/>
      </c>
      <c r="D12" s="23">
        <f>Paramètres!$B$24</f>
        <v/>
      </c>
      <c r="E12" s="23">
        <f>C12*Paramètres!$B$22</f>
        <v/>
      </c>
      <c r="F12" s="23">
        <f>D12-E12</f>
        <v/>
      </c>
      <c r="G12" s="23">
        <f>Paramètres!$B$14</f>
        <v/>
      </c>
      <c r="H12" s="23">
        <f>D12+G12</f>
        <v/>
      </c>
      <c r="I12" s="23">
        <f>MAX(0,C12-F12)</f>
        <v/>
      </c>
      <c r="J12" s="23">
        <f>IF(B12=Paramètres!$B$16,Paramètres!$B$17,0)</f>
        <v/>
      </c>
      <c r="K12" s="23">
        <f>MAX(0,I12-J12)</f>
        <v/>
      </c>
      <c r="L12" s="24">
        <f>IF(J12&gt;0,"Remboursement anticipé","Échéance normale")</f>
        <v/>
      </c>
      <c r="M12" s="23">
        <f>SUM($E$3:E12)</f>
        <v/>
      </c>
      <c r="N12" s="23">
        <f>SUM($F$3:F12)</f>
        <v/>
      </c>
    </row>
    <row r="13">
      <c r="A13" s="25" t="inlineStr">
        <is>
          <t>TOTAL</t>
        </is>
      </c>
      <c r="B13" s="26" t="n"/>
      <c r="C13" s="26" t="n"/>
      <c r="D13" s="26" t="n"/>
      <c r="E13" s="27">
        <f>SUM(E3:E12)</f>
        <v/>
      </c>
      <c r="F13" s="27">
        <f>SUM(F3:F12)</f>
        <v/>
      </c>
      <c r="G13" s="27">
        <f>SUM(G3:G12)</f>
        <v/>
      </c>
      <c r="H13" s="26" t="n"/>
      <c r="I13" s="26" t="n"/>
      <c r="J13" s="27">
        <f>SUM(J3:J12)</f>
        <v/>
      </c>
      <c r="K13" s="26" t="n"/>
      <c r="L13" s="26" t="n"/>
      <c r="M13" s="26" t="n"/>
      <c r="N13" s="26" t="n"/>
    </row>
    <row r="14"/>
    <row r="15">
      <c r="A15" s="15" t="inlineStr">
        <is>
          <t>Note : les formules sont extensibles jusqu'à 240 échéances en recopiant la dernière ligne. Chaque ligne reprend le capital restant après opération de la ligne précédente.</t>
        </is>
      </c>
    </row>
  </sheetData>
  <mergeCells count="1">
    <mergeCell ref="A1:N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44" customWidth="1" min="1" max="1"/>
    <col width="24" customWidth="1" min="2" max="2"/>
    <col width="4" customWidth="1" min="3" max="3"/>
  </cols>
  <sheetData>
    <row r="1" ht="26" customHeight="1">
      <c r="A1" s="1" t="inlineStr">
        <is>
          <t>Synthèse — Tableau de bord du remboursement anticipé</t>
        </is>
      </c>
    </row>
    <row r="2"/>
    <row r="3">
      <c r="A3" s="16" t="inlineStr">
        <is>
          <t>Indicateur</t>
        </is>
      </c>
      <c r="B3" s="16" t="inlineStr">
        <is>
          <t>Valeur</t>
        </is>
      </c>
    </row>
    <row r="4">
      <c r="A4" s="28" t="inlineStr">
        <is>
          <t>Capital initial</t>
        </is>
      </c>
      <c r="B4" s="29">
        <f>Paramètres!B8</f>
        <v/>
      </c>
    </row>
    <row r="5">
      <c r="A5" s="30" t="inlineStr">
        <is>
          <t>Capital restant dû à la date choisie</t>
        </is>
      </c>
      <c r="B5" s="31">
        <f>Paramètres!B25</f>
        <v/>
      </c>
    </row>
    <row r="6">
      <c r="A6" s="28" t="inlineStr">
        <is>
          <t>Montant remboursé par anticipation</t>
        </is>
      </c>
      <c r="B6" s="29">
        <f>SUM('Tableau amortissement'!J3:J12)</f>
        <v/>
      </c>
    </row>
    <row r="7">
      <c r="A7" s="30" t="inlineStr">
        <is>
          <t>IRA estimées</t>
        </is>
      </c>
      <c r="B7" s="32">
        <f>Paramètres!B27</f>
        <v/>
      </c>
    </row>
    <row r="8">
      <c r="A8" s="28" t="inlineStr">
        <is>
          <t>Coût total du remboursement anticipé</t>
        </is>
      </c>
      <c r="B8" s="29">
        <f>B6+B7</f>
        <v/>
      </c>
    </row>
    <row r="9">
      <c r="A9" s="30" t="inlineStr">
        <is>
          <t>Intérêts restants sans remboursement</t>
        </is>
      </c>
      <c r="B9" s="31">
        <f>MAX(0,(Paramètres!B23-COUNT('Tableau amortissement'!A3:A12))*Paramètres!B24-B5)</f>
        <v/>
      </c>
    </row>
    <row r="10">
      <c r="A10" s="28" t="inlineStr">
        <is>
          <t>Nouvelle mensualité estimée (hors assurance)</t>
        </is>
      </c>
      <c r="B10" s="29">
        <f>IFERROR((B5-B6)*Paramètres!B22/(1-(1+Paramètres!B22)^(-(Paramètres!B23-COUNT('Tableau amortissement'!A3:A12)))),0)</f>
        <v/>
      </c>
    </row>
    <row r="11">
      <c r="A11" s="30" t="inlineStr">
        <is>
          <t>Intérêts restants après remboursement</t>
        </is>
      </c>
      <c r="B11" s="31">
        <f>MAX(0,(Paramètres!B23-COUNT('Tableau amortissement'!A3:A12))*B10-(B5-B6))</f>
        <v/>
      </c>
    </row>
    <row r="12">
      <c r="A12" s="28" t="inlineStr">
        <is>
          <t>Économie d'intérêts estimée</t>
        </is>
      </c>
      <c r="B12" s="33">
        <f>B9-B11</f>
        <v/>
      </c>
    </row>
    <row r="13">
      <c r="A13" s="30" t="inlineStr">
        <is>
          <t>Durée restante estimée (années)</t>
        </is>
      </c>
      <c r="B13" s="43">
        <f>(Paramètres!B23-COUNT('Tableau amortissement'!A3:A12))/12</f>
        <v/>
      </c>
    </row>
    <row r="14">
      <c r="A14" s="28" t="inlineStr">
        <is>
          <t>Capital déjà remboursé</t>
        </is>
      </c>
      <c r="B14" s="29">
        <f>B4-B5</f>
        <v/>
      </c>
    </row>
    <row r="15">
      <c r="A15" s="30" t="inlineStr">
        <is>
          <t>Pourcentage de capital déjà remboursé</t>
        </is>
      </c>
      <c r="B15" s="35">
        <f>IFERROR((B4-B5)/B4,0)</f>
        <v/>
      </c>
    </row>
    <row r="16">
      <c r="A16" s="28" t="inlineStr">
        <is>
          <t>Revenus mensuels du foyer (saisie)</t>
        </is>
      </c>
      <c r="B16" s="36" t="n">
        <v>4500</v>
      </c>
    </row>
    <row r="17">
      <c r="A17" s="30" t="inlineStr">
        <is>
          <t>Taux d'effort indicatif</t>
        </is>
      </c>
      <c r="B17" s="35">
        <f>IFERROR((B10+Paramètres!B14)/B16,0)</f>
        <v/>
      </c>
    </row>
    <row r="18">
      <c r="A18" s="28" t="inlineStr">
        <is>
          <t>Alerte IRA</t>
        </is>
      </c>
      <c r="B18" s="37">
        <f>IF(B7&gt;0,"Vérifier les IRA dans loffre de prêt","Aucune IRA")</f>
        <v/>
      </c>
    </row>
    <row r="19">
      <c r="A19" s="30" t="inlineStr">
        <is>
          <t>Nombre de remboursements anticipés détectés</t>
        </is>
      </c>
      <c r="B19" s="38">
        <f>COUNTIF('Tableau amortissement'!L3:L12,"Remboursement anticipé")</f>
        <v/>
      </c>
    </row>
    <row r="20">
      <c r="A20" s="28" t="inlineStr">
        <is>
          <t>CRD vérifié par recherche (VLOOKUP)</t>
        </is>
      </c>
      <c r="B20" s="29">
        <f>IFERROR(VLOOKUP(Paramètres!B16,'Tableau amortissement'!B3:I12,8,FALSE),0)</f>
        <v/>
      </c>
    </row>
    <row r="21"/>
    <row r="22">
      <c r="A22" s="3" t="inlineStr">
        <is>
          <t>Comparaison des intérêts totaux restants</t>
        </is>
      </c>
      <c r="B22" s="4" t="n"/>
      <c r="C22" s="4" t="n"/>
    </row>
    <row r="23">
      <c r="A23" s="7" t="inlineStr">
        <is>
          <t>Sans remboursement</t>
        </is>
      </c>
      <c r="B23" s="39">
        <f>B9</f>
        <v/>
      </c>
    </row>
    <row r="24">
      <c r="A24" s="7" t="inlineStr">
        <is>
          <t>Avec remboursement</t>
        </is>
      </c>
      <c r="B24" s="39">
        <f>B11</f>
        <v/>
      </c>
    </row>
    <row r="25"/>
    <row r="26">
      <c r="A26" s="3" t="inlineStr">
        <is>
          <t>Répartition d'une mensualité (1re échéance)</t>
        </is>
      </c>
      <c r="B26" s="4" t="n"/>
      <c r="C26" s="4" t="n"/>
    </row>
    <row r="27">
      <c r="A27" s="7" t="inlineStr">
        <is>
          <t>Intérêts</t>
        </is>
      </c>
      <c r="B27" s="39">
        <f>'Tableau amortissement'!E3</f>
        <v/>
      </c>
    </row>
    <row r="28">
      <c r="A28" s="7" t="inlineStr">
        <is>
          <t>Capital amorti</t>
        </is>
      </c>
      <c r="B28" s="39">
        <f>'Tableau amortissement'!F3</f>
        <v/>
      </c>
    </row>
    <row r="29">
      <c r="A29" s="7" t="inlineStr">
        <is>
          <t>Assurance</t>
        </is>
      </c>
      <c r="B29" s="39">
        <f>'Tableau amortissement'!G3</f>
        <v/>
      </c>
    </row>
  </sheetData>
  <mergeCells count="1">
    <mergeCell ref="A1:C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2026-08-01T07:13:52Z</dcterms:created>
  <dcterms:modified xmlns:dcterms="http://purl.org/dc/terms/" xmlns:xsi="http://www.w3.org/2001/XMLSchema-instance" xsi:type="dcterms:W3CDTF">2026-08-01T07:13:52Z</dcterms:modified>
</cp:coreProperties>
</file>