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ulations" sheetId="1" state="visible" r:id="rId1"/>
    <sheet xmlns:r="http://schemas.openxmlformats.org/officeDocument/2006/relationships" name="Parametres" sheetId="2" state="visible" r:id="rId2"/>
    <sheet xmlns:r="http://schemas.openxmlformats.org/officeDocument/2006/relationships" name="Tableau de bord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 ##0,00 €"/>
    <numFmt numFmtId="165" formatCode="0,0 %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sz val="10"/>
    </font>
    <font>
      <name val="Calibri"/>
      <i val="1"/>
      <color rgb="0064748B"/>
      <sz val="9"/>
    </font>
    <font>
      <name val="Calibri"/>
      <b val="1"/>
      <sz val="10"/>
    </font>
  </fonts>
  <fills count="7">
    <fill>
      <patternFill/>
    </fill>
    <fill>
      <patternFill patternType="gray125"/>
    </fill>
    <fill>
      <patternFill patternType="solid">
        <fgColor rgb="000F172A"/>
      </patternFill>
    </fill>
    <fill>
      <patternFill patternType="solid">
        <fgColor rgb="001E293B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0E7490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left" vertical="center" wrapText="1"/>
    </xf>
    <xf numFmtId="1" fontId="3" fillId="4" borderId="1" applyAlignment="1" pivotButton="0" quotePrefix="0" xfId="0">
      <alignment horizontal="center" vertical="center" wrapText="1"/>
    </xf>
    <xf numFmtId="164" fontId="3" fillId="4" borderId="1" applyAlignment="1" pivotButton="0" quotePrefix="0" xfId="0">
      <alignment horizontal="right" vertical="center"/>
    </xf>
    <xf numFmtId="164" fontId="3" fillId="0" borderId="1" applyAlignment="1" pivotButton="0" quotePrefix="0" xfId="0">
      <alignment horizontal="right" vertical="center"/>
    </xf>
    <xf numFmtId="165" fontId="3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1" fontId="3" fillId="0" borderId="1" applyAlignment="1" pivotButton="0" quotePrefix="0" xfId="0">
      <alignment horizontal="center" vertical="center" wrapText="1"/>
    </xf>
    <xf numFmtId="164" fontId="3" fillId="5" borderId="1" applyAlignment="1" pivotButton="0" quotePrefix="0" xfId="0">
      <alignment horizontal="right" vertical="center"/>
    </xf>
    <xf numFmtId="165" fontId="3" fillId="5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1" fontId="3" fillId="5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left" vertical="center" wrapText="1"/>
    </xf>
    <xf numFmtId="0" fontId="2" fillId="6" borderId="0" pivotButton="0" quotePrefix="0" xfId="0"/>
    <xf numFmtId="0" fontId="3" fillId="0" borderId="1" pivotButton="0" quotePrefix="0" xfId="0"/>
    <xf numFmtId="165" fontId="5" fillId="4" borderId="1" applyAlignment="1" pivotButton="0" quotePrefix="0" xfId="0">
      <alignment horizontal="right" vertical="center"/>
    </xf>
    <xf numFmtId="0" fontId="3" fillId="5" borderId="1" pivotButton="0" quotePrefix="0" xfId="0"/>
    <xf numFmtId="165" fontId="3" fillId="4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3" fillId="0" borderId="0" pivotButton="0" quotePrefix="0" xfId="0"/>
    <xf numFmtId="165" fontId="3" fillId="0" borderId="0" pivotButton="0" quotePrefix="0" xfId="0"/>
    <xf numFmtId="0" fontId="3" fillId="0" borderId="1" applyAlignment="1" pivotButton="0" quotePrefix="0" xfId="0">
      <alignment horizontal="left" vertical="center" wrapText="1"/>
    </xf>
    <xf numFmtId="1" fontId="5" fillId="0" borderId="1" applyAlignment="1" pivotButton="0" quotePrefix="0" xfId="0">
      <alignment horizontal="right" vertical="center"/>
    </xf>
    <xf numFmtId="1" fontId="5" fillId="5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16A34A"/>
        <sz val="10"/>
      </font>
    </dxf>
    <dxf>
      <font>
        <name val="Calibri"/>
        <b val="1"/>
        <color rgb="00DC2626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Montant du PTZ par emprunteur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bord'!E4</f>
            </strRef>
          </tx>
          <spPr>
            <a:solidFill xmlns:a="http://schemas.openxmlformats.org/drawingml/2006/main">
              <a:srgbClr val="0E7490"/>
            </a:solidFill>
            <a:ln xmlns:a="http://schemas.openxmlformats.org/drawingml/2006/main">
              <a:prstDash val="solid"/>
            </a:ln>
          </spPr>
          <cat>
            <numRef>
              <f>'Tableau de bord'!$D$5:$D$13</f>
            </numRef>
          </cat>
          <val>
            <numRef>
              <f>'Tableau de bord'!$E$5:$E$13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(€)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Répartition des résultats</a:t>
            </a:r>
          </a:p>
        </rich>
      </tx>
    </title>
    <plotArea>
      <pieChart>
        <varyColors val="1"/>
        <ser>
          <idx val="0"/>
          <order val="0"/>
          <tx>
            <strRef>
              <f>'Tableau de bord'!H4</f>
            </strRef>
          </tx>
          <spPr>
            <a:ln xmlns:a="http://schemas.openxmlformats.org/drawingml/2006/main">
              <a:prstDash val="solid"/>
            </a:ln>
          </spPr>
          <cat>
            <numRef>
              <f>'Tableau de bord'!$G$5:$G$7</f>
            </numRef>
          </cat>
          <val>
            <numRef>
              <f>'Tableau de bord'!$H$5:$H$7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Prix du logement et montant PTZ moyens par zone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'Tableau de bord'!B17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'Tableau de bord'!$A$18:$A$20</f>
            </numRef>
          </cat>
          <val>
            <numRef>
              <f>'Tableau de bord'!$B$18:$B$20</f>
            </numRef>
          </val>
        </ser>
        <ser>
          <idx val="1"/>
          <order val="1"/>
          <tx>
            <strRef>
              <f>'Tableau de bord'!C17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'Tableau de bord'!$A$18:$A$20</f>
            </numRef>
          </cat>
          <val>
            <numRef>
              <f>'Tableau de bord'!$C$18:$C$20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3</col>
      <colOff>0</colOff>
      <row>15</row>
      <rowOff>0</rowOff>
    </from>
    <ext cx="720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22</row>
      <rowOff>0</rowOff>
    </from>
    <ext cx="360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32</row>
      <rowOff>0</rowOff>
    </from>
    <ext cx="504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D11"/>
  <sheetViews>
    <sheetView workbookViewId="0">
      <pane xSplit="3" ySplit="2" topLeftCell="D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3" customWidth="1" min="2" max="2"/>
    <col width="16" customWidth="1" min="3" max="3"/>
    <col width="34" customWidth="1" min="4" max="4"/>
    <col width="13" customWidth="1" min="5" max="5"/>
    <col width="9" customWidth="1" min="6" max="6"/>
    <col width="12" customWidth="1" min="7" max="7"/>
    <col width="14" customWidth="1" min="8" max="8"/>
    <col width="22" customWidth="1" min="9" max="9"/>
    <col width="20" customWidth="1" min="10" max="10"/>
    <col width="13" customWidth="1" min="11" max="11"/>
    <col width="12" customWidth="1" min="12" max="12"/>
    <col width="12" customWidth="1" min="13" max="13"/>
    <col width="14" customWidth="1" min="14" max="14"/>
    <col width="12" customWidth="1" min="15" max="15"/>
    <col width="13" customWidth="1" min="16" max="16"/>
    <col width="13" customWidth="1" min="17" max="17"/>
    <col width="10" customWidth="1" min="18" max="18"/>
    <col width="14" customWidth="1" min="19" max="19"/>
    <col width="12" customWidth="1" min="20" max="20"/>
    <col width="14" customWidth="1" min="21" max="21"/>
    <col width="14" customWidth="1" min="22" max="22"/>
    <col width="13" customWidth="1" min="23" max="23"/>
    <col width="12" customWidth="1" min="24" max="24"/>
    <col width="12" customWidth="1" min="25" max="25"/>
    <col width="14" customWidth="1" min="26" max="26"/>
    <col width="14" customWidth="1" min="27" max="27"/>
    <col width="13" customWidth="1" min="28" max="28"/>
    <col width="16" customWidth="1" min="29" max="29"/>
    <col width="40" customWidth="1" min="30" max="30"/>
  </cols>
  <sheetData>
    <row r="1" ht="30" customHeight="1">
      <c r="A1" s="1" t="inlineStr">
        <is>
          <t>SIMULATION PRÊT À TAUX ZÉRO (PTZ) — RÉSIDENCE PRINCIPALE — 2026</t>
        </is>
      </c>
    </row>
    <row r="2" ht="45" customHeight="1">
      <c r="A2" s="2" t="inlineStr">
        <is>
          <t>ID simulation</t>
        </is>
      </c>
      <c r="B2" s="2" t="inlineStr">
        <is>
          <t>Date de simulation</t>
        </is>
      </c>
      <c r="C2" s="2" t="inlineStr">
        <is>
          <t>Nom de l'emprunteur</t>
        </is>
      </c>
      <c r="D2" s="2" t="inlineStr">
        <is>
          <t>Adresse du logement</t>
        </is>
      </c>
      <c r="E2" s="2" t="inlineStr">
        <is>
          <t>Commune</t>
        </is>
      </c>
      <c r="F2" s="2" t="inlineStr">
        <is>
          <t>Zone PTZ</t>
        </is>
      </c>
      <c r="G2" s="2" t="inlineStr">
        <is>
          <t>Personnes dans le foyer</t>
        </is>
      </c>
      <c r="H2" s="2" t="inlineStr">
        <is>
          <t>Revenu fiscal de référence N-2</t>
        </is>
      </c>
      <c r="I2" s="2" t="inlineStr">
        <is>
          <t>Type d'opération</t>
        </is>
      </c>
      <c r="J2" s="2" t="inlineStr">
        <is>
          <t>Logement neuf / ancien avec travaux</t>
        </is>
      </c>
      <c r="K2" s="2" t="inlineStr">
        <is>
          <t>Prix du logement</t>
        </is>
      </c>
      <c r="L2" s="2" t="inlineStr">
        <is>
          <t>Montant des travaux</t>
        </is>
      </c>
      <c r="M2" s="2" t="inlineStr">
        <is>
          <t>Frais de notaire</t>
        </is>
      </c>
      <c r="N2" s="2" t="inlineStr">
        <is>
          <t>Coût total de l'opération</t>
        </is>
      </c>
      <c r="O2" s="2" t="inlineStr">
        <is>
          <t>Apport personnel</t>
        </is>
      </c>
      <c r="P2" s="2" t="inlineStr">
        <is>
          <t>Montant des autres prêts</t>
        </is>
      </c>
      <c r="Q2" s="2" t="inlineStr">
        <is>
          <t>Mensualité des autres prêts</t>
        </is>
      </c>
      <c r="R2" s="2" t="inlineStr">
        <is>
          <t>Quotité PTZ</t>
        </is>
      </c>
      <c r="S2" s="2" t="inlineStr">
        <is>
          <t>Plafond de ressources applicable</t>
        </is>
      </c>
      <c r="T2" s="2" t="inlineStr">
        <is>
          <t>Éligibilité ressources</t>
        </is>
      </c>
      <c r="U2" s="2" t="inlineStr">
        <is>
          <t>Plafond d'opération applicable</t>
        </is>
      </c>
      <c r="V2" s="2" t="inlineStr">
        <is>
          <t>Coût retenu pour le PTZ</t>
        </is>
      </c>
      <c r="W2" s="2" t="inlineStr">
        <is>
          <t>Montant PTZ</t>
        </is>
      </c>
      <c r="X2" s="2" t="inlineStr">
        <is>
          <t>Durée totale PTZ (mois)</t>
        </is>
      </c>
      <c r="Y2" s="2" t="inlineStr">
        <is>
          <t>Durée du différé (mois)</t>
        </is>
      </c>
      <c r="Z2" s="2" t="inlineStr">
        <is>
          <t>Durée de remboursement (mois)</t>
        </is>
      </c>
      <c r="AA2" s="2" t="inlineStr">
        <is>
          <t>Mensualité PTZ hors assurance</t>
        </is>
      </c>
      <c r="AB2" s="2" t="inlineStr">
        <is>
          <t>Taux d'endettement estimé</t>
        </is>
      </c>
      <c r="AC2" s="2" t="inlineStr">
        <is>
          <t>Résultat de la simulation</t>
        </is>
      </c>
      <c r="AD2" s="2" t="inlineStr">
        <is>
          <t>Commentaires</t>
        </is>
      </c>
    </row>
    <row r="3">
      <c r="A3" s="3" t="inlineStr">
        <is>
          <t>SIM-2026-001</t>
        </is>
      </c>
      <c r="B3" s="3" t="inlineStr">
        <is>
          <t>12/01/2026</t>
        </is>
      </c>
      <c r="C3" s="4" t="inlineStr">
        <is>
          <t>Camille Durand</t>
        </is>
      </c>
      <c r="D3" s="4" t="inlineStr">
        <is>
          <t>12 rue de la République, 69002 Lyon</t>
        </is>
      </c>
      <c r="E3" s="4" t="inlineStr">
        <is>
          <t>Lyon</t>
        </is>
      </c>
      <c r="F3" s="3" t="inlineStr">
        <is>
          <t>A</t>
        </is>
      </c>
      <c r="G3" s="5" t="n">
        <v>2</v>
      </c>
      <c r="H3" s="6" t="n">
        <v>58500</v>
      </c>
      <c r="I3" s="4" t="inlineStr">
        <is>
          <t>Achat neuf</t>
        </is>
      </c>
      <c r="J3" s="4" t="inlineStr">
        <is>
          <t>Neuf</t>
        </is>
      </c>
      <c r="K3" s="6" t="n">
        <v>320000</v>
      </c>
      <c r="L3" s="6" t="n">
        <v>0</v>
      </c>
      <c r="M3" s="6" t="n">
        <v>8000</v>
      </c>
      <c r="N3" s="7">
        <f>K3+L3+M3</f>
        <v/>
      </c>
      <c r="O3" s="6" t="n">
        <v>55000</v>
      </c>
      <c r="P3" s="6" t="n">
        <v>180000</v>
      </c>
      <c r="Q3" s="6" t="n">
        <v>920</v>
      </c>
      <c r="R3" s="8">
        <f>IFERROR(VLOOKUP(I3&amp;"|"&amp;F3,Parametres!$A$50:$C$57,3,FALSE),0)</f>
        <v/>
      </c>
      <c r="S3" s="7">
        <f>IFERROR(VLOOKUP(F3&amp;"|"&amp;G3,Parametres!$A$12:$E$35,5,FALSE),0)</f>
        <v/>
      </c>
      <c r="T3" s="9">
        <f>IF(H3&lt;=S3,"Éligible","Non éligible")</f>
        <v/>
      </c>
      <c r="U3" s="7">
        <f>IFERROR(INDEX(Parametres!$B$40:$F$43,MATCH(F3,Parametres!$A$40:$A$43,0),MIN(G3,5)),0)</f>
        <v/>
      </c>
      <c r="V3" s="7">
        <f>MIN(N3,U3)</f>
        <v/>
      </c>
      <c r="W3" s="7">
        <f>V3*R3</f>
        <v/>
      </c>
      <c r="X3" s="5" t="n">
        <v>300</v>
      </c>
      <c r="Y3" s="5" t="n">
        <v>180</v>
      </c>
      <c r="Z3" s="10">
        <f>X3-Y3</f>
        <v/>
      </c>
      <c r="AA3" s="7">
        <f>IF(Z3=0,0,W3/Z3)</f>
        <v/>
      </c>
      <c r="AB3" s="8">
        <f>IF(H3=0,0,(AA3+Q3)/(H3/12))</f>
        <v/>
      </c>
      <c r="AC3" s="9">
        <f>IF(AND(T3="Éligible",W3&gt;0,AB3&lt;=Parametres!$B$4),"Simulation favorable","À vérifier")</f>
        <v/>
      </c>
      <c r="AD3" s="4" t="inlineStr">
        <is>
          <t>Dossier complet, primo-accédants.</t>
        </is>
      </c>
    </row>
    <row r="4">
      <c r="A4" s="3" t="inlineStr">
        <is>
          <t>SIM-2026-002</t>
        </is>
      </c>
      <c r="B4" s="3" t="inlineStr">
        <is>
          <t>25/01/2026</t>
        </is>
      </c>
      <c r="C4" s="4" t="inlineStr">
        <is>
          <t>Julien Moreau</t>
        </is>
      </c>
      <c r="D4" s="4" t="inlineStr">
        <is>
          <t>8 avenue Victor Hugo, 75116 Paris</t>
        </is>
      </c>
      <c r="E4" s="4" t="inlineStr">
        <is>
          <t>Paris</t>
        </is>
      </c>
      <c r="F4" s="3" t="inlineStr">
        <is>
          <t>A</t>
        </is>
      </c>
      <c r="G4" s="5" t="n">
        <v>1</v>
      </c>
      <c r="H4" s="6" t="n">
        <v>38500</v>
      </c>
      <c r="I4" s="4" t="inlineStr">
        <is>
          <t>Achat neuf</t>
        </is>
      </c>
      <c r="J4" s="4" t="inlineStr">
        <is>
          <t>Neuf</t>
        </is>
      </c>
      <c r="K4" s="6" t="n">
        <v>390000</v>
      </c>
      <c r="L4" s="6" t="n">
        <v>0</v>
      </c>
      <c r="M4" s="6" t="n">
        <v>9750</v>
      </c>
      <c r="N4" s="11">
        <f>K4+L4+M4</f>
        <v/>
      </c>
      <c r="O4" s="6" t="n">
        <v>75000</v>
      </c>
      <c r="P4" s="6" t="n">
        <v>240000</v>
      </c>
      <c r="Q4" s="6" t="n">
        <v>1250</v>
      </c>
      <c r="R4" s="12">
        <f>IFERROR(VLOOKUP(I4&amp;"|"&amp;F4,Parametres!$A$50:$C$57,3,FALSE),0)</f>
        <v/>
      </c>
      <c r="S4" s="11">
        <f>IFERROR(VLOOKUP(F4&amp;"|"&amp;G4,Parametres!$A$12:$E$35,5,FALSE),0)</f>
        <v/>
      </c>
      <c r="T4" s="13">
        <f>IF(H4&lt;=S4,"Éligible","Non éligible")</f>
        <v/>
      </c>
      <c r="U4" s="11">
        <f>IFERROR(INDEX(Parametres!$B$40:$F$43,MATCH(F4,Parametres!$A$40:$A$43,0),MIN(G4,5)),0)</f>
        <v/>
      </c>
      <c r="V4" s="11">
        <f>MIN(N4,U4)</f>
        <v/>
      </c>
      <c r="W4" s="11">
        <f>V4*R4</f>
        <v/>
      </c>
      <c r="X4" s="5" t="n">
        <v>240</v>
      </c>
      <c r="Y4" s="5" t="n">
        <v>120</v>
      </c>
      <c r="Z4" s="14">
        <f>X4-Y4</f>
        <v/>
      </c>
      <c r="AA4" s="11">
        <f>IF(Z4=0,0,W4/Z4)</f>
        <v/>
      </c>
      <c r="AB4" s="12">
        <f>IF(H4=0,0,(AA4+Q4)/(H4/12))</f>
        <v/>
      </c>
      <c r="AC4" s="13">
        <f>IF(AND(T4="Éligible",W4&gt;0,AB4&lt;=Parametres!$B$4),"Simulation favorable","À vérifier")</f>
        <v/>
      </c>
      <c r="AD4" s="4" t="inlineStr">
        <is>
          <t>Prix élevé, plafond d'opération à surveiller.</t>
        </is>
      </c>
    </row>
    <row r="5">
      <c r="A5" s="3" t="inlineStr">
        <is>
          <t>SIM-2026-003</t>
        </is>
      </c>
      <c r="B5" s="3" t="inlineStr">
        <is>
          <t>08/02/2026</t>
        </is>
      </c>
      <c r="C5" s="4" t="inlineStr">
        <is>
          <t>Sophie Lefèvre</t>
        </is>
      </c>
      <c r="D5" s="4" t="inlineStr">
        <is>
          <t>24 cours Gambetta, 33000 Bordeaux</t>
        </is>
      </c>
      <c r="E5" s="4" t="inlineStr">
        <is>
          <t>Bordeaux</t>
        </is>
      </c>
      <c r="F5" s="3" t="inlineStr">
        <is>
          <t>B1</t>
        </is>
      </c>
      <c r="G5" s="5" t="n">
        <v>3</v>
      </c>
      <c r="H5" s="6" t="n">
        <v>52000</v>
      </c>
      <c r="I5" s="4" t="inlineStr">
        <is>
          <t>Achat ancien avec travaux</t>
        </is>
      </c>
      <c r="J5" s="4" t="inlineStr">
        <is>
          <t>Ancien avec travaux</t>
        </is>
      </c>
      <c r="K5" s="6" t="n">
        <v>245000</v>
      </c>
      <c r="L5" s="6" t="n">
        <v>60000</v>
      </c>
      <c r="M5" s="6" t="n">
        <v>18375</v>
      </c>
      <c r="N5" s="7">
        <f>K5+L5+M5</f>
        <v/>
      </c>
      <c r="O5" s="6" t="n">
        <v>40000</v>
      </c>
      <c r="P5" s="6" t="n">
        <v>190000</v>
      </c>
      <c r="Q5" s="6" t="n">
        <v>990</v>
      </c>
      <c r="R5" s="8">
        <f>IFERROR(VLOOKUP(I5&amp;"|"&amp;F5,Parametres!$A$50:$C$57,3,FALSE),0)</f>
        <v/>
      </c>
      <c r="S5" s="7">
        <f>IFERROR(VLOOKUP(F5&amp;"|"&amp;G5,Parametres!$A$12:$E$35,5,FALSE),0)</f>
        <v/>
      </c>
      <c r="T5" s="9">
        <f>IF(H5&lt;=S5,"Éligible","Non éligible")</f>
        <v/>
      </c>
      <c r="U5" s="7">
        <f>IFERROR(INDEX(Parametres!$B$40:$F$43,MATCH(F5,Parametres!$A$40:$A$43,0),MIN(G5,5)),0)</f>
        <v/>
      </c>
      <c r="V5" s="7">
        <f>MIN(N5,U5)</f>
        <v/>
      </c>
      <c r="W5" s="7">
        <f>V5*R5</f>
        <v/>
      </c>
      <c r="X5" s="5" t="n">
        <v>300</v>
      </c>
      <c r="Y5" s="5" t="n">
        <v>180</v>
      </c>
      <c r="Z5" s="10">
        <f>X5-Y5</f>
        <v/>
      </c>
      <c r="AA5" s="7">
        <f>IF(Z5=0,0,W5/Z5)</f>
        <v/>
      </c>
      <c r="AB5" s="8">
        <f>IF(H5=0,0,(AA5+Q5)/(H5/12))</f>
        <v/>
      </c>
      <c r="AC5" s="9">
        <f>IF(AND(T5="Éligible",W5&gt;0,AB5&lt;=Parametres!$B$4),"Simulation favorable","À vérifier")</f>
        <v/>
      </c>
      <c r="AD5" s="4" t="inlineStr">
        <is>
          <t>Travaux représentant plus de 25 % du coût total.</t>
        </is>
      </c>
    </row>
    <row r="6">
      <c r="A6" s="3" t="inlineStr">
        <is>
          <t>SIM-2026-004</t>
        </is>
      </c>
      <c r="B6" s="3" t="inlineStr">
        <is>
          <t>19/02/2026</t>
        </is>
      </c>
      <c r="C6" s="4" t="inlineStr">
        <is>
          <t>Thomas Bernard</t>
        </is>
      </c>
      <c r="D6" s="4" t="inlineStr">
        <is>
          <t>15 rue Nationale, 59800 Lille</t>
        </is>
      </c>
      <c r="E6" s="4" t="inlineStr">
        <is>
          <t>Lille</t>
        </is>
      </c>
      <c r="F6" s="3" t="inlineStr">
        <is>
          <t>B1</t>
        </is>
      </c>
      <c r="G6" s="5" t="n">
        <v>2</v>
      </c>
      <c r="H6" s="6" t="n">
        <v>41000</v>
      </c>
      <c r="I6" s="4" t="inlineStr">
        <is>
          <t>Achat ancien avec travaux</t>
        </is>
      </c>
      <c r="J6" s="4" t="inlineStr">
        <is>
          <t>Ancien avec travaux</t>
        </is>
      </c>
      <c r="K6" s="6" t="n">
        <v>185000</v>
      </c>
      <c r="L6" s="6" t="n">
        <v>50000</v>
      </c>
      <c r="M6" s="6" t="n">
        <v>13875</v>
      </c>
      <c r="N6" s="11">
        <f>K6+L6+M6</f>
        <v/>
      </c>
      <c r="O6" s="6" t="n">
        <v>25000</v>
      </c>
      <c r="P6" s="6" t="n">
        <v>150000</v>
      </c>
      <c r="Q6" s="6" t="n">
        <v>780</v>
      </c>
      <c r="R6" s="12">
        <f>IFERROR(VLOOKUP(I6&amp;"|"&amp;F6,Parametres!$A$50:$C$57,3,FALSE),0)</f>
        <v/>
      </c>
      <c r="S6" s="11">
        <f>IFERROR(VLOOKUP(F6&amp;"|"&amp;G6,Parametres!$A$12:$E$35,5,FALSE),0)</f>
        <v/>
      </c>
      <c r="T6" s="13">
        <f>IF(H6&lt;=S6,"Éligible","Non éligible")</f>
        <v/>
      </c>
      <c r="U6" s="11">
        <f>IFERROR(INDEX(Parametres!$B$40:$F$43,MATCH(F6,Parametres!$A$40:$A$43,0),MIN(G6,5)),0)</f>
        <v/>
      </c>
      <c r="V6" s="11">
        <f>MIN(N6,U6)</f>
        <v/>
      </c>
      <c r="W6" s="11">
        <f>V6*R6</f>
        <v/>
      </c>
      <c r="X6" s="5" t="n">
        <v>300</v>
      </c>
      <c r="Y6" s="5" t="n">
        <v>180</v>
      </c>
      <c r="Z6" s="14">
        <f>X6-Y6</f>
        <v/>
      </c>
      <c r="AA6" s="11">
        <f>IF(Z6=0,0,W6/Z6)</f>
        <v/>
      </c>
      <c r="AB6" s="12">
        <f>IF(H6=0,0,(AA6+Q6)/(H6/12))</f>
        <v/>
      </c>
      <c r="AC6" s="13">
        <f>IF(AND(T6="Éligible",W6&gt;0,AB6&lt;=Parametres!$B$4),"Simulation favorable","À vérifier")</f>
        <v/>
      </c>
      <c r="AD6" s="4" t="inlineStr">
        <is>
          <t>Éligible sous conditions de devis travaux.</t>
        </is>
      </c>
    </row>
    <row r="7">
      <c r="A7" s="3" t="inlineStr">
        <is>
          <t>SIM-2026-005</t>
        </is>
      </c>
      <c r="B7" s="3" t="inlineStr">
        <is>
          <t>04/03/2026</t>
        </is>
      </c>
      <c r="C7" s="4" t="inlineStr">
        <is>
          <t>Léa Martin</t>
        </is>
      </c>
      <c r="D7" s="4" t="inlineStr">
        <is>
          <t>6 boulevard de la Liberté, 35000 Rennes</t>
        </is>
      </c>
      <c r="E7" s="4" t="inlineStr">
        <is>
          <t>Rennes</t>
        </is>
      </c>
      <c r="F7" s="3" t="inlineStr">
        <is>
          <t>B1</t>
        </is>
      </c>
      <c r="G7" s="5" t="n">
        <v>4</v>
      </c>
      <c r="H7" s="6" t="n">
        <v>56000</v>
      </c>
      <c r="I7" s="4" t="inlineStr">
        <is>
          <t>Achat neuf</t>
        </is>
      </c>
      <c r="J7" s="4" t="inlineStr">
        <is>
          <t>Neuf</t>
        </is>
      </c>
      <c r="K7" s="6" t="n">
        <v>268000</v>
      </c>
      <c r="L7" s="6" t="n">
        <v>0</v>
      </c>
      <c r="M7" s="6" t="n">
        <v>6700</v>
      </c>
      <c r="N7" s="7">
        <f>K7+L7+M7</f>
        <v/>
      </c>
      <c r="O7" s="6" t="n">
        <v>45000</v>
      </c>
      <c r="P7" s="6" t="n">
        <v>170000</v>
      </c>
      <c r="Q7" s="6" t="n">
        <v>860</v>
      </c>
      <c r="R7" s="8">
        <f>IFERROR(VLOOKUP(I7&amp;"|"&amp;F7,Parametres!$A$50:$C$57,3,FALSE),0)</f>
        <v/>
      </c>
      <c r="S7" s="7">
        <f>IFERROR(VLOOKUP(F7&amp;"|"&amp;G7,Parametres!$A$12:$E$35,5,FALSE),0)</f>
        <v/>
      </c>
      <c r="T7" s="9">
        <f>IF(H7&lt;=S7,"Éligible","Non éligible")</f>
        <v/>
      </c>
      <c r="U7" s="7">
        <f>IFERROR(INDEX(Parametres!$B$40:$F$43,MATCH(F7,Parametres!$A$40:$A$43,0),MIN(G7,5)),0)</f>
        <v/>
      </c>
      <c r="V7" s="7">
        <f>MIN(N7,U7)</f>
        <v/>
      </c>
      <c r="W7" s="7">
        <f>V7*R7</f>
        <v/>
      </c>
      <c r="X7" s="5" t="n">
        <v>240</v>
      </c>
      <c r="Y7" s="5" t="n">
        <v>120</v>
      </c>
      <c r="Z7" s="10">
        <f>X7-Y7</f>
        <v/>
      </c>
      <c r="AA7" s="7">
        <f>IF(Z7=0,0,W7/Z7)</f>
        <v/>
      </c>
      <c r="AB7" s="8">
        <f>IF(H7=0,0,(AA7+Q7)/(H7/12))</f>
        <v/>
      </c>
      <c r="AC7" s="9">
        <f>IF(AND(T7="Éligible",W7&gt;0,AB7&lt;=Parametres!$B$4),"Simulation favorable","À vérifier")</f>
        <v/>
      </c>
      <c r="AD7" s="4" t="inlineStr">
        <is>
          <t>Famille avec deux enfants.</t>
        </is>
      </c>
    </row>
    <row r="8">
      <c r="A8" s="3" t="inlineStr">
        <is>
          <t>SIM-2026-006</t>
        </is>
      </c>
      <c r="B8" s="3" t="inlineStr">
        <is>
          <t>17/03/2026</t>
        </is>
      </c>
      <c r="C8" s="4" t="inlineStr">
        <is>
          <t>Nicolas Petit</t>
        </is>
      </c>
      <c r="D8" s="4" t="inlineStr">
        <is>
          <t>3 rue Foch, 34000 Montpellier</t>
        </is>
      </c>
      <c r="E8" s="4" t="inlineStr">
        <is>
          <t>Montpellier</t>
        </is>
      </c>
      <c r="F8" s="3" t="inlineStr">
        <is>
          <t>B1</t>
        </is>
      </c>
      <c r="G8" s="5" t="n">
        <v>1</v>
      </c>
      <c r="H8" s="6" t="n">
        <v>24500</v>
      </c>
      <c r="I8" s="4" t="inlineStr">
        <is>
          <t>Achat neuf</t>
        </is>
      </c>
      <c r="J8" s="4" t="inlineStr">
        <is>
          <t>Neuf</t>
        </is>
      </c>
      <c r="K8" s="6" t="n">
        <v>195000</v>
      </c>
      <c r="L8" s="6" t="n">
        <v>0</v>
      </c>
      <c r="M8" s="6" t="n">
        <v>4875</v>
      </c>
      <c r="N8" s="11">
        <f>K8+L8+M8</f>
        <v/>
      </c>
      <c r="O8" s="6" t="n">
        <v>15000</v>
      </c>
      <c r="P8" s="6" t="n">
        <v>130000</v>
      </c>
      <c r="Q8" s="6" t="n">
        <v>680</v>
      </c>
      <c r="R8" s="12">
        <f>IFERROR(VLOOKUP(I8&amp;"|"&amp;F8,Parametres!$A$50:$C$57,3,FALSE),0)</f>
        <v/>
      </c>
      <c r="S8" s="11">
        <f>IFERROR(VLOOKUP(F8&amp;"|"&amp;G8,Parametres!$A$12:$E$35,5,FALSE),0)</f>
        <v/>
      </c>
      <c r="T8" s="13">
        <f>IF(H8&lt;=S8,"Éligible","Non éligible")</f>
        <v/>
      </c>
      <c r="U8" s="11">
        <f>IFERROR(INDEX(Parametres!$B$40:$F$43,MATCH(F8,Parametres!$A$40:$A$43,0),MIN(G8,5)),0)</f>
        <v/>
      </c>
      <c r="V8" s="11">
        <f>MIN(N8,U8)</f>
        <v/>
      </c>
      <c r="W8" s="11">
        <f>V8*R8</f>
        <v/>
      </c>
      <c r="X8" s="5" t="n">
        <v>300</v>
      </c>
      <c r="Y8" s="5" t="n">
        <v>240</v>
      </c>
      <c r="Z8" s="14">
        <f>X8-Y8</f>
        <v/>
      </c>
      <c r="AA8" s="11">
        <f>IF(Z8=0,0,W8/Z8)</f>
        <v/>
      </c>
      <c r="AB8" s="12">
        <f>IF(H8=0,0,(AA8+Q8)/(H8/12))</f>
        <v/>
      </c>
      <c r="AC8" s="13">
        <f>IF(AND(T8="Éligible",W8&gt;0,AB8&lt;=Parametres!$B$4),"Simulation favorable","À vérifier")</f>
        <v/>
      </c>
      <c r="AD8" s="4" t="inlineStr">
        <is>
          <t>Revenus modestes, durée maximale envisagée.</t>
        </is>
      </c>
    </row>
    <row r="9">
      <c r="A9" s="3" t="inlineStr">
        <is>
          <t>SIM-2026-007</t>
        </is>
      </c>
      <c r="B9" s="3" t="inlineStr">
        <is>
          <t>02/04/2026</t>
        </is>
      </c>
      <c r="C9" s="4" t="inlineStr">
        <is>
          <t>Émilie Rousseau</t>
        </is>
      </c>
      <c r="D9" s="4" t="inlineStr">
        <is>
          <t>18 avenue Jean Médecin, 06000 Nice</t>
        </is>
      </c>
      <c r="E9" s="4" t="inlineStr">
        <is>
          <t>Nice</t>
        </is>
      </c>
      <c r="F9" s="3" t="inlineStr">
        <is>
          <t>A</t>
        </is>
      </c>
      <c r="G9" s="5" t="n">
        <v>2</v>
      </c>
      <c r="H9" s="6" t="n">
        <v>47500</v>
      </c>
      <c r="I9" s="4" t="inlineStr">
        <is>
          <t>Achat ancien avec travaux</t>
        </is>
      </c>
      <c r="J9" s="4" t="inlineStr">
        <is>
          <t>Ancien avec travaux</t>
        </is>
      </c>
      <c r="K9" s="6" t="n">
        <v>295000</v>
      </c>
      <c r="L9" s="6" t="n">
        <v>70000</v>
      </c>
      <c r="M9" s="6" t="n">
        <v>22125</v>
      </c>
      <c r="N9" s="7">
        <f>K9+L9+M9</f>
        <v/>
      </c>
      <c r="O9" s="6" t="n">
        <v>60000</v>
      </c>
      <c r="P9" s="6" t="n">
        <v>220000</v>
      </c>
      <c r="Q9" s="6" t="n">
        <v>1130</v>
      </c>
      <c r="R9" s="8">
        <f>IFERROR(VLOOKUP(I9&amp;"|"&amp;F9,Parametres!$A$50:$C$57,3,FALSE),0)</f>
        <v/>
      </c>
      <c r="S9" s="7">
        <f>IFERROR(VLOOKUP(F9&amp;"|"&amp;G9,Parametres!$A$12:$E$35,5,FALSE),0)</f>
        <v/>
      </c>
      <c r="T9" s="9">
        <f>IF(H9&lt;=S9,"Éligible","Non éligible")</f>
        <v/>
      </c>
      <c r="U9" s="7">
        <f>IFERROR(INDEX(Parametres!$B$40:$F$43,MATCH(F9,Parametres!$A$40:$A$43,0),MIN(G9,5)),0)</f>
        <v/>
      </c>
      <c r="V9" s="7">
        <f>MIN(N9,U9)</f>
        <v/>
      </c>
      <c r="W9" s="7">
        <f>V9*R9</f>
        <v/>
      </c>
      <c r="X9" s="5" t="n">
        <v>240</v>
      </c>
      <c r="Y9" s="5" t="n">
        <v>120</v>
      </c>
      <c r="Z9" s="10">
        <f>X9-Y9</f>
        <v/>
      </c>
      <c r="AA9" s="7">
        <f>IF(Z9=0,0,W9/Z9)</f>
        <v/>
      </c>
      <c r="AB9" s="8">
        <f>IF(H9=0,0,(AA9+Q9)/(H9/12))</f>
        <v/>
      </c>
      <c r="AC9" s="9">
        <f>IF(AND(T9="Éligible",W9&gt;0,AB9&lt;=Parametres!$B$4),"Simulation favorable","À vérifier")</f>
        <v/>
      </c>
      <c r="AD9" s="4" t="inlineStr">
        <is>
          <t>Copropriété récente, charges modérées.</t>
        </is>
      </c>
    </row>
    <row r="10">
      <c r="A10" s="3" t="inlineStr">
        <is>
          <t>SIM-2026-008</t>
        </is>
      </c>
      <c r="B10" s="3" t="inlineStr">
        <is>
          <t>15/04/2026</t>
        </is>
      </c>
      <c r="C10" s="4" t="inlineStr">
        <is>
          <t>Antoine Garcia</t>
        </is>
      </c>
      <c r="D10" s="4" t="inlineStr">
        <is>
          <t>41 rue du Maréchal Leclerc, 44000 Nantes</t>
        </is>
      </c>
      <c r="E10" s="4" t="inlineStr">
        <is>
          <t>Nantes</t>
        </is>
      </c>
      <c r="F10" s="3" t="inlineStr">
        <is>
          <t>B1</t>
        </is>
      </c>
      <c r="G10" s="5" t="n">
        <v>5</v>
      </c>
      <c r="H10" s="6" t="n">
        <v>58000</v>
      </c>
      <c r="I10" s="4" t="inlineStr">
        <is>
          <t>Achat neuf</t>
        </is>
      </c>
      <c r="J10" s="4" t="inlineStr">
        <is>
          <t>Neuf</t>
        </is>
      </c>
      <c r="K10" s="6" t="n">
        <v>305000</v>
      </c>
      <c r="L10" s="6" t="n">
        <v>0</v>
      </c>
      <c r="M10" s="6" t="n">
        <v>7625</v>
      </c>
      <c r="N10" s="11">
        <f>K10+L10+M10</f>
        <v/>
      </c>
      <c r="O10" s="6" t="n">
        <v>50000</v>
      </c>
      <c r="P10" s="6" t="n">
        <v>200000</v>
      </c>
      <c r="Q10" s="6" t="n">
        <v>1040</v>
      </c>
      <c r="R10" s="12">
        <f>IFERROR(VLOOKUP(I10&amp;"|"&amp;F10,Parametres!$A$50:$C$57,3,FALSE),0)</f>
        <v/>
      </c>
      <c r="S10" s="11">
        <f>IFERROR(VLOOKUP(F10&amp;"|"&amp;G10,Parametres!$A$12:$E$35,5,FALSE),0)</f>
        <v/>
      </c>
      <c r="T10" s="13">
        <f>IF(H10&lt;=S10,"Éligible","Non éligible")</f>
        <v/>
      </c>
      <c r="U10" s="11">
        <f>IFERROR(INDEX(Parametres!$B$40:$F$43,MATCH(F10,Parametres!$A$40:$A$43,0),MIN(G10,5)),0)</f>
        <v/>
      </c>
      <c r="V10" s="11">
        <f>MIN(N10,U10)</f>
        <v/>
      </c>
      <c r="W10" s="11">
        <f>V10*R10</f>
        <v/>
      </c>
      <c r="X10" s="5" t="n">
        <v>240</v>
      </c>
      <c r="Y10" s="5" t="n">
        <v>120</v>
      </c>
      <c r="Z10" s="14">
        <f>X10-Y10</f>
        <v/>
      </c>
      <c r="AA10" s="11">
        <f>IF(Z10=0,0,W10/Z10)</f>
        <v/>
      </c>
      <c r="AB10" s="12">
        <f>IF(H10=0,0,(AA10+Q10)/(H10/12))</f>
        <v/>
      </c>
      <c r="AC10" s="13">
        <f>IF(AND(T10="Éligible",W10&gt;0,AB10&lt;=Parametres!$B$4),"Simulation favorable","À vérifier")</f>
        <v/>
      </c>
      <c r="AD10" s="4" t="inlineStr">
        <is>
          <t>Cinq personnes dans le foyer.</t>
        </is>
      </c>
    </row>
    <row r="11">
      <c r="A11" s="3" t="inlineStr">
        <is>
          <t>SIM-2026-009</t>
        </is>
      </c>
      <c r="B11" s="3" t="inlineStr">
        <is>
          <t>28/04/2026</t>
        </is>
      </c>
      <c r="C11" s="4" t="inlineStr">
        <is>
          <t>Claire Robert</t>
        </is>
      </c>
      <c r="D11" s="4" t="inlineStr">
        <is>
          <t>9 rue des Lilas, 67000 Strasbourg</t>
        </is>
      </c>
      <c r="E11" s="4" t="inlineStr">
        <is>
          <t>Strasbourg</t>
        </is>
      </c>
      <c r="F11" s="3" t="inlineStr">
        <is>
          <t>B2</t>
        </is>
      </c>
      <c r="G11" s="5" t="n">
        <v>2</v>
      </c>
      <c r="H11" s="6" t="n">
        <v>36500</v>
      </c>
      <c r="I11" s="4" t="inlineStr">
        <is>
          <t>Achat ancien avec travaux</t>
        </is>
      </c>
      <c r="J11" s="4" t="inlineStr">
        <is>
          <t>Ancien avec travaux</t>
        </is>
      </c>
      <c r="K11" s="6" t="n">
        <v>210000</v>
      </c>
      <c r="L11" s="6" t="n">
        <v>55000</v>
      </c>
      <c r="M11" s="6" t="n">
        <v>15750</v>
      </c>
      <c r="N11" s="7">
        <f>K11+L11+M11</f>
        <v/>
      </c>
      <c r="O11" s="6" t="n">
        <v>30000</v>
      </c>
      <c r="P11" s="6" t="n">
        <v>160000</v>
      </c>
      <c r="Q11" s="6" t="n">
        <v>830</v>
      </c>
      <c r="R11" s="8">
        <f>IFERROR(VLOOKUP(I11&amp;"|"&amp;F11,Parametres!$A$50:$C$57,3,FALSE),0)</f>
        <v/>
      </c>
      <c r="S11" s="7">
        <f>IFERROR(VLOOKUP(F11&amp;"|"&amp;G11,Parametres!$A$12:$E$35,5,FALSE),0)</f>
        <v/>
      </c>
      <c r="T11" s="9">
        <f>IF(H11&lt;=S11,"Éligible","Non éligible")</f>
        <v/>
      </c>
      <c r="U11" s="7">
        <f>IFERROR(INDEX(Parametres!$B$40:$F$43,MATCH(F11,Parametres!$A$40:$A$43,0),MIN(G11,5)),0)</f>
        <v/>
      </c>
      <c r="V11" s="7">
        <f>MIN(N11,U11)</f>
        <v/>
      </c>
      <c r="W11" s="7">
        <f>V11*R11</f>
        <v/>
      </c>
      <c r="X11" s="5" t="n">
        <v>300</v>
      </c>
      <c r="Y11" s="5" t="n">
        <v>180</v>
      </c>
      <c r="Z11" s="10">
        <f>X11-Y11</f>
        <v/>
      </c>
      <c r="AA11" s="7">
        <f>IF(Z11=0,0,W11/Z11)</f>
        <v/>
      </c>
      <c r="AB11" s="8">
        <f>IF(H11=0,0,(AA11+Q11)/(H11/12))</f>
        <v/>
      </c>
      <c r="AC11" s="9">
        <f>IF(AND(T11="Éligible",W11&gt;0,AB11&lt;=Parametres!$B$4),"Simulation favorable","À vérifier")</f>
        <v/>
      </c>
      <c r="AD11" s="4" t="inlineStr">
        <is>
          <t>Zone B2 : avis préalable de la commission requis.</t>
        </is>
      </c>
    </row>
  </sheetData>
  <mergeCells count="1">
    <mergeCell ref="A1:AD1"/>
  </mergeCells>
  <conditionalFormatting sqref="AC3:AC11">
    <cfRule type="expression" priority="1" dxfId="0" stopIfTrue="1">
      <formula>AC3="Simulation favorable"</formula>
    </cfRule>
    <cfRule type="expression" priority="2" dxfId="1" stopIfTrue="1">
      <formula>AC3="À vérifier"</formula>
    </cfRule>
  </conditionalFormatting>
  <conditionalFormatting sqref="T3:T11">
    <cfRule type="expression" priority="3" dxfId="1" stopIfTrue="1">
      <formula>T3="Non éligible"</formula>
    </cfRule>
  </conditionalFormatting>
  <conditionalFormatting sqref="AB3:AB11">
    <cfRule type="expression" priority="4" dxfId="1" stopIfTrue="1">
      <formula>AB3&gt;Parametres!$B$4</formula>
    </cfRule>
  </conditionalFormatting>
  <dataValidations count="3">
    <dataValidation sqref="F3:F11" showErrorMessage="1" showInputMessage="1" allowBlank="0" type="list">
      <formula1>"A,B1,B2,C"</formula1>
    </dataValidation>
    <dataValidation sqref="I3:I11" showErrorMessage="1" showInputMessage="1" allowBlank="0" type="list">
      <formula1>"Achat neuf,Achat ancien avec travaux"</formula1>
    </dataValidation>
    <dataValidation sqref="G3:G11" showErrorMessage="1" showInputMessage="1" allowBlank="0" type="whole" operator="between">
      <formula1>1</formula1>
      <formula2>8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5"/>
  <sheetViews>
    <sheetView workbookViewId="0">
      <selection activeCell="A1" sqref="A1"/>
    </sheetView>
  </sheetViews>
  <sheetFormatPr baseColWidth="8" defaultRowHeight="15"/>
  <cols>
    <col width="34" customWidth="1" min="1" max="1"/>
    <col width="26" customWidth="1" min="2" max="2"/>
    <col width="22" customWidth="1" min="3" max="3"/>
    <col width="18" customWidth="1" min="4" max="4"/>
    <col width="18" customWidth="1" min="5" max="5"/>
    <col width="20" customWidth="1" min="6" max="6"/>
  </cols>
  <sheetData>
    <row r="1" ht="28" customHeight="1">
      <c r="A1" s="1" t="inlineStr">
        <is>
          <t>PARAMÈTRES RÉGLEMENTAIRES PTZ — À CONTRÔLER ET ACTUALISER</t>
        </is>
      </c>
    </row>
    <row r="2">
      <c r="A2" s="15" t="inlineStr">
        <is>
          <t>Note : les paramètres doivent être contrôlés selon la réglementation PTZ applicable en 2026 et le dossier bancaire réel.</t>
        </is>
      </c>
    </row>
    <row r="3">
      <c r="A3" s="16" t="inlineStr">
        <is>
          <t>Hypothèses générales</t>
        </is>
      </c>
    </row>
    <row r="4">
      <c r="A4" s="17" t="inlineStr">
        <is>
          <t>Seuil de taux d'endettement</t>
        </is>
      </c>
      <c r="B4" s="18" t="n">
        <v>0.35</v>
      </c>
    </row>
    <row r="5">
      <c r="A5" s="17" t="inlineStr">
        <is>
          <t>Taux du PTZ</t>
        </is>
      </c>
      <c r="B5" s="18" t="n">
        <v>0</v>
      </c>
    </row>
    <row r="6">
      <c r="A6" s="17" t="inlineStr">
        <is>
          <t>Assurance emprunteur indicative</t>
        </is>
      </c>
      <c r="B6" s="18" t="n">
        <v>0.003</v>
      </c>
    </row>
    <row r="7">
      <c r="A7" s="17" t="inlineStr">
        <is>
          <t>Frais de notaire — ancien</t>
        </is>
      </c>
      <c r="B7" s="18" t="n">
        <v>0.075</v>
      </c>
    </row>
    <row r="8">
      <c r="A8" s="17" t="inlineStr">
        <is>
          <t>Frais de notaire — neuf</t>
        </is>
      </c>
      <c r="B8" s="18" t="n">
        <v>0.025</v>
      </c>
    </row>
    <row r="10">
      <c r="A10" s="16" t="inlineStr">
        <is>
          <t>Plafonds de ressources PTZ (revenu fiscal de référence N-2)</t>
        </is>
      </c>
    </row>
    <row r="11">
      <c r="A11" s="2" t="inlineStr">
        <is>
          <t>Clé zone|personnes</t>
        </is>
      </c>
      <c r="B11" s="2" t="inlineStr">
        <is>
          <t>Zone</t>
        </is>
      </c>
      <c r="C11" s="2" t="inlineStr">
        <is>
          <t>Personnes</t>
        </is>
      </c>
      <c r="D11" s="2" t="inlineStr">
        <is>
          <t>Libellé</t>
        </is>
      </c>
      <c r="E11" s="2" t="inlineStr">
        <is>
          <t>Plafond annuel</t>
        </is>
      </c>
    </row>
    <row r="12">
      <c r="A12" s="17" t="inlineStr">
        <is>
          <t>A|1</t>
        </is>
      </c>
      <c r="B12" s="9" t="inlineStr">
        <is>
          <t>A</t>
        </is>
      </c>
      <c r="C12" s="9" t="n">
        <v>1</v>
      </c>
      <c r="D12" s="17" t="inlineStr">
        <is>
          <t>1 personne</t>
        </is>
      </c>
      <c r="E12" s="6" t="n">
        <v>49000</v>
      </c>
    </row>
    <row r="13">
      <c r="A13" s="19" t="inlineStr">
        <is>
          <t>A|2</t>
        </is>
      </c>
      <c r="B13" s="13" t="inlineStr">
        <is>
          <t>A</t>
        </is>
      </c>
      <c r="C13" s="13" t="n">
        <v>2</v>
      </c>
      <c r="D13" s="19" t="inlineStr">
        <is>
          <t>2 personnes</t>
        </is>
      </c>
      <c r="E13" s="6" t="n">
        <v>73500</v>
      </c>
    </row>
    <row r="14">
      <c r="A14" s="17" t="inlineStr">
        <is>
          <t>A|3</t>
        </is>
      </c>
      <c r="B14" s="9" t="inlineStr">
        <is>
          <t>A</t>
        </is>
      </c>
      <c r="C14" s="9" t="n">
        <v>3</v>
      </c>
      <c r="D14" s="17" t="inlineStr">
        <is>
          <t>3 personnes</t>
        </is>
      </c>
      <c r="E14" s="6" t="n">
        <v>88200</v>
      </c>
    </row>
    <row r="15">
      <c r="A15" s="19" t="inlineStr">
        <is>
          <t>A|4</t>
        </is>
      </c>
      <c r="B15" s="13" t="inlineStr">
        <is>
          <t>A</t>
        </is>
      </c>
      <c r="C15" s="13" t="n">
        <v>4</v>
      </c>
      <c r="D15" s="19" t="inlineStr">
        <is>
          <t>4 personnes</t>
        </is>
      </c>
      <c r="E15" s="6" t="n">
        <v>102900</v>
      </c>
    </row>
    <row r="16">
      <c r="A16" s="17" t="inlineStr">
        <is>
          <t>A|5</t>
        </is>
      </c>
      <c r="B16" s="9" t="inlineStr">
        <is>
          <t>A</t>
        </is>
      </c>
      <c r="C16" s="9" t="n">
        <v>5</v>
      </c>
      <c r="D16" s="17" t="inlineStr">
        <is>
          <t>5 personnes ou plus</t>
        </is>
      </c>
      <c r="E16" s="6" t="n">
        <v>117600</v>
      </c>
    </row>
    <row r="17">
      <c r="A17" s="19" t="inlineStr">
        <is>
          <t>A|5</t>
        </is>
      </c>
      <c r="B17" s="13" t="inlineStr">
        <is>
          <t>A</t>
        </is>
      </c>
      <c r="C17" s="13" t="n">
        <v>5</v>
      </c>
      <c r="D17" s="19" t="inlineStr">
        <is>
          <t>Par personne supplémentaire (majoration)</t>
        </is>
      </c>
      <c r="E17" s="6" t="n">
        <v>132300</v>
      </c>
    </row>
    <row r="18">
      <c r="A18" s="17" t="inlineStr">
        <is>
          <t>B1|1</t>
        </is>
      </c>
      <c r="B18" s="9" t="inlineStr">
        <is>
          <t>B1</t>
        </is>
      </c>
      <c r="C18" s="9" t="n">
        <v>1</v>
      </c>
      <c r="D18" s="17" t="inlineStr">
        <is>
          <t>1 personne</t>
        </is>
      </c>
      <c r="E18" s="6" t="n">
        <v>34500</v>
      </c>
    </row>
    <row r="19">
      <c r="A19" s="19" t="inlineStr">
        <is>
          <t>B1|2</t>
        </is>
      </c>
      <c r="B19" s="13" t="inlineStr">
        <is>
          <t>B1</t>
        </is>
      </c>
      <c r="C19" s="13" t="n">
        <v>2</v>
      </c>
      <c r="D19" s="19" t="inlineStr">
        <is>
          <t>2 personnes</t>
        </is>
      </c>
      <c r="E19" s="6" t="n">
        <v>51750</v>
      </c>
    </row>
    <row r="20">
      <c r="A20" s="17" t="inlineStr">
        <is>
          <t>B1|3</t>
        </is>
      </c>
      <c r="B20" s="9" t="inlineStr">
        <is>
          <t>B1</t>
        </is>
      </c>
      <c r="C20" s="9" t="n">
        <v>3</v>
      </c>
      <c r="D20" s="17" t="inlineStr">
        <is>
          <t>3 personnes</t>
        </is>
      </c>
      <c r="E20" s="6" t="n">
        <v>62100</v>
      </c>
    </row>
    <row r="21">
      <c r="A21" s="19" t="inlineStr">
        <is>
          <t>B1|4</t>
        </is>
      </c>
      <c r="B21" s="13" t="inlineStr">
        <is>
          <t>B1</t>
        </is>
      </c>
      <c r="C21" s="13" t="n">
        <v>4</v>
      </c>
      <c r="D21" s="19" t="inlineStr">
        <is>
          <t>4 personnes</t>
        </is>
      </c>
      <c r="E21" s="6" t="n">
        <v>72450</v>
      </c>
    </row>
    <row r="22">
      <c r="A22" s="17" t="inlineStr">
        <is>
          <t>B1|5</t>
        </is>
      </c>
      <c r="B22" s="9" t="inlineStr">
        <is>
          <t>B1</t>
        </is>
      </c>
      <c r="C22" s="9" t="n">
        <v>5</v>
      </c>
      <c r="D22" s="17" t="inlineStr">
        <is>
          <t>5 personnes ou plus</t>
        </is>
      </c>
      <c r="E22" s="6" t="n">
        <v>82800</v>
      </c>
    </row>
    <row r="23">
      <c r="A23" s="19" t="inlineStr">
        <is>
          <t>B1|5</t>
        </is>
      </c>
      <c r="B23" s="13" t="inlineStr">
        <is>
          <t>B1</t>
        </is>
      </c>
      <c r="C23" s="13" t="n">
        <v>5</v>
      </c>
      <c r="D23" s="19" t="inlineStr">
        <is>
          <t>Par personne supplémentaire (majoration)</t>
        </is>
      </c>
      <c r="E23" s="6" t="n">
        <v>93150</v>
      </c>
    </row>
    <row r="24">
      <c r="A24" s="17" t="inlineStr">
        <is>
          <t>B2|1</t>
        </is>
      </c>
      <c r="B24" s="9" t="inlineStr">
        <is>
          <t>B2</t>
        </is>
      </c>
      <c r="C24" s="9" t="n">
        <v>1</v>
      </c>
      <c r="D24" s="17" t="inlineStr">
        <is>
          <t>1 personne</t>
        </is>
      </c>
      <c r="E24" s="6" t="n">
        <v>31500</v>
      </c>
    </row>
    <row r="25">
      <c r="A25" s="19" t="inlineStr">
        <is>
          <t>B2|2</t>
        </is>
      </c>
      <c r="B25" s="13" t="inlineStr">
        <is>
          <t>B2</t>
        </is>
      </c>
      <c r="C25" s="13" t="n">
        <v>2</v>
      </c>
      <c r="D25" s="19" t="inlineStr">
        <is>
          <t>2 personnes</t>
        </is>
      </c>
      <c r="E25" s="6" t="n">
        <v>47250</v>
      </c>
    </row>
    <row r="26">
      <c r="A26" s="17" t="inlineStr">
        <is>
          <t>B2|3</t>
        </is>
      </c>
      <c r="B26" s="9" t="inlineStr">
        <is>
          <t>B2</t>
        </is>
      </c>
      <c r="C26" s="9" t="n">
        <v>3</v>
      </c>
      <c r="D26" s="17" t="inlineStr">
        <is>
          <t>3 personnes</t>
        </is>
      </c>
      <c r="E26" s="6" t="n">
        <v>56700</v>
      </c>
    </row>
    <row r="27">
      <c r="A27" s="19" t="inlineStr">
        <is>
          <t>B2|4</t>
        </is>
      </c>
      <c r="B27" s="13" t="inlineStr">
        <is>
          <t>B2</t>
        </is>
      </c>
      <c r="C27" s="13" t="n">
        <v>4</v>
      </c>
      <c r="D27" s="19" t="inlineStr">
        <is>
          <t>4 personnes</t>
        </is>
      </c>
      <c r="E27" s="6" t="n">
        <v>66150</v>
      </c>
    </row>
    <row r="28">
      <c r="A28" s="17" t="inlineStr">
        <is>
          <t>B2|5</t>
        </is>
      </c>
      <c r="B28" s="9" t="inlineStr">
        <is>
          <t>B2</t>
        </is>
      </c>
      <c r="C28" s="9" t="n">
        <v>5</v>
      </c>
      <c r="D28" s="17" t="inlineStr">
        <is>
          <t>5 personnes ou plus</t>
        </is>
      </c>
      <c r="E28" s="6" t="n">
        <v>75600</v>
      </c>
    </row>
    <row r="29">
      <c r="A29" s="19" t="inlineStr">
        <is>
          <t>B2|5</t>
        </is>
      </c>
      <c r="B29" s="13" t="inlineStr">
        <is>
          <t>B2</t>
        </is>
      </c>
      <c r="C29" s="13" t="n">
        <v>5</v>
      </c>
      <c r="D29" s="19" t="inlineStr">
        <is>
          <t>Par personne supplémentaire (majoration)</t>
        </is>
      </c>
      <c r="E29" s="6" t="n">
        <v>85050</v>
      </c>
    </row>
    <row r="30">
      <c r="A30" s="17" t="inlineStr">
        <is>
          <t>C|1</t>
        </is>
      </c>
      <c r="B30" s="9" t="inlineStr">
        <is>
          <t>C</t>
        </is>
      </c>
      <c r="C30" s="9" t="n">
        <v>1</v>
      </c>
      <c r="D30" s="17" t="inlineStr">
        <is>
          <t>1 personne</t>
        </is>
      </c>
      <c r="E30" s="6" t="n">
        <v>28500</v>
      </c>
    </row>
    <row r="31">
      <c r="A31" s="19" t="inlineStr">
        <is>
          <t>C|2</t>
        </is>
      </c>
      <c r="B31" s="13" t="inlineStr">
        <is>
          <t>C</t>
        </is>
      </c>
      <c r="C31" s="13" t="n">
        <v>2</v>
      </c>
      <c r="D31" s="19" t="inlineStr">
        <is>
          <t>2 personnes</t>
        </is>
      </c>
      <c r="E31" s="6" t="n">
        <v>42750</v>
      </c>
    </row>
    <row r="32">
      <c r="A32" s="17" t="inlineStr">
        <is>
          <t>C|3</t>
        </is>
      </c>
      <c r="B32" s="9" t="inlineStr">
        <is>
          <t>C</t>
        </is>
      </c>
      <c r="C32" s="9" t="n">
        <v>3</v>
      </c>
      <c r="D32" s="17" t="inlineStr">
        <is>
          <t>3 personnes</t>
        </is>
      </c>
      <c r="E32" s="6" t="n">
        <v>51300</v>
      </c>
    </row>
    <row r="33">
      <c r="A33" s="19" t="inlineStr">
        <is>
          <t>C|4</t>
        </is>
      </c>
      <c r="B33" s="13" t="inlineStr">
        <is>
          <t>C</t>
        </is>
      </c>
      <c r="C33" s="13" t="n">
        <v>4</v>
      </c>
      <c r="D33" s="19" t="inlineStr">
        <is>
          <t>4 personnes</t>
        </is>
      </c>
      <c r="E33" s="6" t="n">
        <v>59850</v>
      </c>
    </row>
    <row r="34">
      <c r="A34" s="17" t="inlineStr">
        <is>
          <t>C|5</t>
        </is>
      </c>
      <c r="B34" s="9" t="inlineStr">
        <is>
          <t>C</t>
        </is>
      </c>
      <c r="C34" s="9" t="n">
        <v>5</v>
      </c>
      <c r="D34" s="17" t="inlineStr">
        <is>
          <t>5 personnes ou plus</t>
        </is>
      </c>
      <c r="E34" s="6" t="n">
        <v>68400</v>
      </c>
    </row>
    <row r="35">
      <c r="A35" s="19" t="inlineStr">
        <is>
          <t>C|5</t>
        </is>
      </c>
      <c r="B35" s="13" t="inlineStr">
        <is>
          <t>C</t>
        </is>
      </c>
      <c r="C35" s="13" t="n">
        <v>5</v>
      </c>
      <c r="D35" s="19" t="inlineStr">
        <is>
          <t>Par personne supplémentaire (majoration)</t>
        </is>
      </c>
      <c r="E35" s="6" t="n">
        <v>76950</v>
      </c>
    </row>
    <row r="38">
      <c r="A38" s="16" t="inlineStr">
        <is>
          <t>Plafonds d'opération (coût total retenu)</t>
        </is>
      </c>
    </row>
    <row r="39">
      <c r="A39" s="2" t="inlineStr">
        <is>
          <t>Zone</t>
        </is>
      </c>
      <c r="B39" s="2" t="inlineStr">
        <is>
          <t>1 personne</t>
        </is>
      </c>
      <c r="C39" s="2" t="inlineStr">
        <is>
          <t>2 personnes</t>
        </is>
      </c>
      <c r="D39" s="2" t="inlineStr">
        <is>
          <t>3 personnes</t>
        </is>
      </c>
      <c r="E39" s="2" t="inlineStr">
        <is>
          <t>4 personnes</t>
        </is>
      </c>
      <c r="F39" s="2" t="inlineStr">
        <is>
          <t>5 personnes ou plus</t>
        </is>
      </c>
    </row>
    <row r="40">
      <c r="A40" s="9" t="inlineStr">
        <is>
          <t>A</t>
        </is>
      </c>
      <c r="B40" s="6" t="n">
        <v>150000</v>
      </c>
      <c r="C40" s="6" t="n">
        <v>225000</v>
      </c>
      <c r="D40" s="6" t="n">
        <v>270000</v>
      </c>
      <c r="E40" s="6" t="n">
        <v>315000</v>
      </c>
      <c r="F40" s="6" t="n">
        <v>360000</v>
      </c>
    </row>
    <row r="41">
      <c r="A41" s="9" t="inlineStr">
        <is>
          <t>B1</t>
        </is>
      </c>
      <c r="B41" s="6" t="n">
        <v>135000</v>
      </c>
      <c r="C41" s="6" t="n">
        <v>202500</v>
      </c>
      <c r="D41" s="6" t="n">
        <v>243000</v>
      </c>
      <c r="E41" s="6" t="n">
        <v>283500</v>
      </c>
      <c r="F41" s="6" t="n">
        <v>324000</v>
      </c>
    </row>
    <row r="42">
      <c r="A42" s="9" t="inlineStr">
        <is>
          <t>B2</t>
        </is>
      </c>
      <c r="B42" s="6" t="n">
        <v>110000</v>
      </c>
      <c r="C42" s="6" t="n">
        <v>165000</v>
      </c>
      <c r="D42" s="6" t="n">
        <v>198000</v>
      </c>
      <c r="E42" s="6" t="n">
        <v>231000</v>
      </c>
      <c r="F42" s="6" t="n">
        <v>264000</v>
      </c>
    </row>
    <row r="43">
      <c r="A43" s="9" t="inlineStr">
        <is>
          <t>C</t>
        </is>
      </c>
      <c r="B43" s="6" t="n">
        <v>100000</v>
      </c>
      <c r="C43" s="6" t="n">
        <v>150000</v>
      </c>
      <c r="D43" s="6" t="n">
        <v>180000</v>
      </c>
      <c r="E43" s="6" t="n">
        <v>210000</v>
      </c>
      <c r="F43" s="6" t="n">
        <v>240000</v>
      </c>
    </row>
    <row r="46">
      <c r="A46" s="16" t="inlineStr">
        <is>
          <t>Quotités indicatives selon type d'opération et zone</t>
        </is>
      </c>
    </row>
    <row r="47">
      <c r="A47" s="2" t="inlineStr">
        <is>
          <t>Clé type|zone</t>
        </is>
      </c>
      <c r="B47" s="2" t="inlineStr">
        <is>
          <t>Type d'opération et zone</t>
        </is>
      </c>
      <c r="C47" s="2" t="inlineStr">
        <is>
          <t>Quotité applicable</t>
        </is>
      </c>
    </row>
    <row r="48">
      <c r="A48" s="17" t="inlineStr">
        <is>
          <t>Achat neuf|A</t>
        </is>
      </c>
      <c r="B48" s="17" t="inlineStr">
        <is>
          <t>Achat neuf — zone A</t>
        </is>
      </c>
      <c r="C48" s="20" t="n">
        <v>0.5</v>
      </c>
    </row>
    <row r="49">
      <c r="A49" s="17" t="inlineStr">
        <is>
          <t>Achat neuf|B1</t>
        </is>
      </c>
      <c r="B49" s="17" t="inlineStr">
        <is>
          <t>Achat neuf — zone B1</t>
        </is>
      </c>
      <c r="C49" s="20" t="n">
        <v>0.5</v>
      </c>
      <c r="E49" s="21" t="inlineStr">
        <is>
          <t>Table technique de recherche des quotités (ne pas modifier l'ordre)</t>
        </is>
      </c>
    </row>
    <row r="50">
      <c r="A50" s="17" t="inlineStr">
        <is>
          <t>Achat neuf|A</t>
        </is>
      </c>
      <c r="B50" s="17" t="inlineStr">
        <is>
          <t>Achat neuf — zone A</t>
        </is>
      </c>
      <c r="C50" s="20" t="n">
        <v>0.5</v>
      </c>
    </row>
    <row r="51">
      <c r="A51" s="17" t="inlineStr">
        <is>
          <t>Achat neuf|B1</t>
        </is>
      </c>
      <c r="B51" s="17" t="inlineStr">
        <is>
          <t>Achat neuf — zone B1</t>
        </is>
      </c>
      <c r="C51" s="20" t="n">
        <v>0.5</v>
      </c>
    </row>
    <row r="52">
      <c r="A52" s="17" t="inlineStr">
        <is>
          <t>Achat neuf|B2</t>
        </is>
      </c>
      <c r="B52" s="17" t="inlineStr">
        <is>
          <t>Achat neuf — zone B2</t>
        </is>
      </c>
      <c r="C52" s="20" t="n">
        <v>0.4</v>
      </c>
    </row>
    <row r="53">
      <c r="A53" s="17" t="inlineStr">
        <is>
          <t>Achat neuf|C</t>
        </is>
      </c>
      <c r="B53" s="17" t="inlineStr">
        <is>
          <t>Achat neuf — zone C</t>
        </is>
      </c>
      <c r="C53" s="20" t="n">
        <v>0.4</v>
      </c>
    </row>
    <row r="54">
      <c r="A54" s="17" t="inlineStr">
        <is>
          <t>Achat ancien avec travaux|A</t>
        </is>
      </c>
      <c r="B54" s="17" t="inlineStr">
        <is>
          <t>Achat ancien avec travaux — zone A</t>
        </is>
      </c>
      <c r="C54" s="20" t="n">
        <v>0.2</v>
      </c>
    </row>
    <row r="55">
      <c r="A55" s="17" t="inlineStr">
        <is>
          <t>Achat ancien avec travaux|B1</t>
        </is>
      </c>
      <c r="B55" s="17" t="inlineStr">
        <is>
          <t>Achat ancien avec travaux — zone B1</t>
        </is>
      </c>
      <c r="C55" s="20" t="n">
        <v>0.2</v>
      </c>
    </row>
    <row r="56">
      <c r="A56" s="22" t="inlineStr">
        <is>
          <t>Achat ancien avec travaux|B2</t>
        </is>
      </c>
      <c r="B56" s="22" t="inlineStr">
        <is>
          <t>Achat ancien avec travaux — zone B2</t>
        </is>
      </c>
      <c r="C56" s="23" t="n">
        <v>0.2</v>
      </c>
    </row>
    <row r="57">
      <c r="A57" s="22" t="inlineStr">
        <is>
          <t>Achat ancien avec travaux|C</t>
        </is>
      </c>
      <c r="B57" s="22" t="inlineStr">
        <is>
          <t>Achat ancien avec travaux — zone C</t>
        </is>
      </c>
      <c r="C57" s="23" t="n">
        <v>0.2</v>
      </c>
    </row>
    <row r="60">
      <c r="A60" s="16" t="inlineStr">
        <is>
          <t>Durées et différés indicatifs selon tranche de revenus</t>
        </is>
      </c>
    </row>
    <row r="61">
      <c r="A61" s="2" t="inlineStr">
        <is>
          <t>Tranche de revenus</t>
        </is>
      </c>
      <c r="B61" s="2" t="inlineStr">
        <is>
          <t>Durée totale (mois)</t>
        </is>
      </c>
      <c r="C61" s="2" t="inlineStr">
        <is>
          <t>Différé (mois)</t>
        </is>
      </c>
      <c r="D61" s="2" t="inlineStr">
        <is>
          <t>Remboursement (mois)</t>
        </is>
      </c>
    </row>
    <row r="62">
      <c r="A62" s="24" t="inlineStr">
        <is>
          <t>Tranche 1 — revenus les plus modestes</t>
        </is>
      </c>
      <c r="B62" s="5" t="n">
        <v>300</v>
      </c>
      <c r="C62" s="5" t="n">
        <v>240</v>
      </c>
      <c r="D62" s="5" t="n">
        <v>60</v>
      </c>
    </row>
    <row r="63">
      <c r="A63" s="24" t="inlineStr">
        <is>
          <t>Tranche 2</t>
        </is>
      </c>
      <c r="B63" s="5" t="n">
        <v>300</v>
      </c>
      <c r="C63" s="5" t="n">
        <v>180</v>
      </c>
      <c r="D63" s="5" t="n">
        <v>120</v>
      </c>
    </row>
    <row r="64">
      <c r="A64" s="24" t="inlineStr">
        <is>
          <t>Tranche 3</t>
        </is>
      </c>
      <c r="B64" s="5" t="n">
        <v>240</v>
      </c>
      <c r="C64" s="5" t="n">
        <v>120</v>
      </c>
      <c r="D64" s="5" t="n">
        <v>120</v>
      </c>
    </row>
    <row r="65">
      <c r="A65" s="24" t="inlineStr">
        <is>
          <t>Tranche 4 — revenus les plus élevés</t>
        </is>
      </c>
      <c r="B65" s="5" t="n">
        <v>240</v>
      </c>
      <c r="C65" s="5" t="n">
        <v>60</v>
      </c>
      <c r="D65" s="5" t="n">
        <v>180</v>
      </c>
    </row>
  </sheetData>
  <mergeCells count="7">
    <mergeCell ref="A1:F1"/>
    <mergeCell ref="A2:F2"/>
    <mergeCell ref="A3:B3"/>
    <mergeCell ref="A10:E10"/>
    <mergeCell ref="A38:F38"/>
    <mergeCell ref="A46:C46"/>
    <mergeCell ref="A60:D6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4" customWidth="1" min="3" max="3"/>
    <col width="20" customWidth="1" min="4" max="4"/>
    <col width="16" customWidth="1" min="5" max="5"/>
    <col width="4" customWidth="1" min="6" max="6"/>
    <col width="20" customWidth="1" min="7" max="7"/>
    <col width="12" customWidth="1" min="8" max="8"/>
  </cols>
  <sheetData>
    <row r="1" ht="28" customHeight="1">
      <c r="A1" s="1" t="inlineStr">
        <is>
          <t>TABLEAU DE BORD — SYNTHÈSE DES SIMULATIONS PTZ 2026</t>
        </is>
      </c>
    </row>
    <row r="3">
      <c r="A3" s="16" t="inlineStr">
        <is>
          <t>Indicateurs clés</t>
        </is>
      </c>
      <c r="D3" s="16" t="inlineStr">
        <is>
          <t>Montant PTZ par emprunteur</t>
        </is>
      </c>
      <c r="G3" s="16" t="inlineStr">
        <is>
          <t>Répartition des résultats</t>
        </is>
      </c>
    </row>
    <row r="4">
      <c r="A4" s="17" t="inlineStr">
        <is>
          <t>Nombre total de simulations</t>
        </is>
      </c>
      <c r="B4" s="25">
        <f>COUNTA(Simulations!A3:A11)</f>
        <v/>
      </c>
      <c r="D4" s="2" t="inlineStr">
        <is>
          <t>Emprunteur</t>
        </is>
      </c>
      <c r="E4" s="2" t="inlineStr">
        <is>
          <t>Montant PTZ</t>
        </is>
      </c>
      <c r="G4" s="2" t="inlineStr">
        <is>
          <t>Résultat</t>
        </is>
      </c>
      <c r="H4" s="2" t="inlineStr">
        <is>
          <t>Nombre</t>
        </is>
      </c>
    </row>
    <row r="5">
      <c r="A5" s="19" t="inlineStr">
        <is>
          <t>Nombre de dossiers favorables</t>
        </is>
      </c>
      <c r="B5" s="26">
        <f>COUNTIF(Simulations!AC3:AC11,"Simulation favorable")</f>
        <v/>
      </c>
      <c r="D5" s="17">
        <f>Simulations!C3</f>
        <v/>
      </c>
      <c r="E5" s="7">
        <f>Simulations!W3</f>
        <v/>
      </c>
      <c r="G5" s="17" t="inlineStr">
        <is>
          <t>Simulation favorable</t>
        </is>
      </c>
      <c r="H5" s="9">
        <f>COUNTIF(Simulations!AC3:AC11,"Simulation favorable")</f>
        <v/>
      </c>
    </row>
    <row r="6">
      <c r="A6" s="17" t="inlineStr">
        <is>
          <t>Montant moyen du PTZ</t>
        </is>
      </c>
      <c r="B6" s="27">
        <f>IFERROR(AVERAGE(Simulations!W3:W11),0)</f>
        <v/>
      </c>
      <c r="D6" s="17">
        <f>Simulations!C4</f>
        <v/>
      </c>
      <c r="E6" s="7">
        <f>Simulations!W4</f>
        <v/>
      </c>
      <c r="G6" s="17" t="inlineStr">
        <is>
          <t>À vérifier</t>
        </is>
      </c>
      <c r="H6" s="9">
        <f>COUNTIF(Simulations!AC3:AC11,"À vérifier")</f>
        <v/>
      </c>
    </row>
    <row r="7">
      <c r="A7" s="19" t="inlineStr">
        <is>
          <t>Prix moyen des logements</t>
        </is>
      </c>
      <c r="B7" s="28">
        <f>IFERROR(AVERAGE(Simulations!K3:K11),0)</f>
        <v/>
      </c>
      <c r="D7" s="17">
        <f>Simulations!C5</f>
        <v/>
      </c>
      <c r="E7" s="7">
        <f>Simulations!W5</f>
        <v/>
      </c>
      <c r="G7" s="17" t="inlineStr">
        <is>
          <t>Non éligible</t>
        </is>
      </c>
      <c r="H7" s="9">
        <f>COUNTIF(Simulations!T3:T11,"Non éligible")</f>
        <v/>
      </c>
    </row>
    <row r="8">
      <c r="A8" s="17" t="inlineStr">
        <is>
          <t>Taux moyen d'endettement</t>
        </is>
      </c>
      <c r="B8" s="29">
        <f>IFERROR(AVERAGE(Simulations!AB3:AB11),0)</f>
        <v/>
      </c>
      <c r="D8" s="17">
        <f>Simulations!C6</f>
        <v/>
      </c>
      <c r="E8" s="7">
        <f>Simulations!W6</f>
        <v/>
      </c>
    </row>
    <row r="9">
      <c r="A9" s="19" t="inlineStr">
        <is>
          <t>Part des dossiers éligibles</t>
        </is>
      </c>
      <c r="B9" s="30">
        <f>IFERROR(COUNTIF(Simulations!T3:T11,"Éligible")/COUNTA(Simulations!A3:A11),0)</f>
        <v/>
      </c>
      <c r="D9" s="17">
        <f>Simulations!C7</f>
        <v/>
      </c>
      <c r="E9" s="7">
        <f>Simulations!W7</f>
        <v/>
      </c>
    </row>
    <row r="10">
      <c r="D10" s="17">
        <f>Simulations!C8</f>
        <v/>
      </c>
      <c r="E10" s="7">
        <f>Simulations!W8</f>
        <v/>
      </c>
    </row>
    <row r="11">
      <c r="D11" s="17">
        <f>Simulations!C9</f>
        <v/>
      </c>
      <c r="E11" s="7">
        <f>Simulations!W9</f>
        <v/>
      </c>
    </row>
    <row r="12">
      <c r="D12" s="17">
        <f>Simulations!C10</f>
        <v/>
      </c>
      <c r="E12" s="7">
        <f>Simulations!W10</f>
        <v/>
      </c>
    </row>
    <row r="13">
      <c r="D13" s="17">
        <f>Simulations!C11</f>
        <v/>
      </c>
      <c r="E13" s="7">
        <f>Simulations!W11</f>
        <v/>
      </c>
    </row>
    <row r="16">
      <c r="A16" s="16" t="inlineStr">
        <is>
          <t>Prix du logement et montant PTZ par zone</t>
        </is>
      </c>
    </row>
    <row r="17">
      <c r="A17" s="2" t="inlineStr">
        <is>
          <t>Zone</t>
        </is>
      </c>
      <c r="B17" s="2" t="inlineStr">
        <is>
          <t>Prix moyen du logement</t>
        </is>
      </c>
      <c r="C17" s="2" t="inlineStr">
        <is>
          <t>Montant moyen du PTZ</t>
        </is>
      </c>
    </row>
    <row r="18">
      <c r="A18" s="9" t="inlineStr">
        <is>
          <t>A</t>
        </is>
      </c>
      <c r="B18" s="7">
        <f>IFERROR(AVERAGEIF(Simulations!F3:F11,A18,Simulations!K3:K11),0)</f>
        <v/>
      </c>
      <c r="C18" s="7">
        <f>IFERROR(AVERAGEIF(Simulations!F3:F11,A18,Simulations!W3:W11),0)</f>
        <v/>
      </c>
    </row>
    <row r="19">
      <c r="A19" s="9" t="inlineStr">
        <is>
          <t>B1</t>
        </is>
      </c>
      <c r="B19" s="7">
        <f>IFERROR(AVERAGEIF(Simulations!F3:F11,A19,Simulations!K3:K11),0)</f>
        <v/>
      </c>
      <c r="C19" s="7">
        <f>IFERROR(AVERAGEIF(Simulations!F3:F11,A19,Simulations!W3:W11),0)</f>
        <v/>
      </c>
    </row>
    <row r="20">
      <c r="A20" s="9" t="inlineStr">
        <is>
          <t>B2</t>
        </is>
      </c>
      <c r="B20" s="7">
        <f>IFERROR(AVERAGEIF(Simulations!F3:F11,A20,Simulations!K3:K11),0)</f>
        <v/>
      </c>
      <c r="C20" s="7">
        <f>IFERROR(AVERAGEIF(Simulations!F3:F11,A20,Simulations!W3:W11),0)</f>
        <v/>
      </c>
    </row>
  </sheetData>
  <mergeCells count="5">
    <mergeCell ref="A1:H1"/>
    <mergeCell ref="A3:B3"/>
    <mergeCell ref="D3:E3"/>
    <mergeCell ref="G3:H3"/>
    <mergeCell ref="A16:C16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2026-08-01T18:40:09Z</dcterms:created>
  <dcterms:modified xmlns:dcterms="http://purl.org/dc/terms/" xmlns:xsi="http://www.w3.org/2001/XMLSchema-instance" xsi:type="dcterms:W3CDTF">2026-08-01T18:40:09Z</dcterms:modified>
</cp:coreProperties>
</file>