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ges par lot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,00 €"/>
    <numFmt numFmtId="165" formatCode="0,00%"/>
    <numFmt numFmtId="166" formatCode="DD/MM/AAAA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0.5"/>
    </font>
    <font>
      <name val="Calibri"/>
      <b val="1"/>
      <color rgb="00FFFFFF"/>
      <sz val="11"/>
    </font>
    <font>
      <name val="Calibri"/>
      <sz val="10.5"/>
    </font>
    <font>
      <name val="Calibri"/>
      <b val="1"/>
      <color rgb="00FFFFFF"/>
      <sz val="10.5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164" fontId="0" fillId="2" borderId="1" pivotButton="0" quotePrefix="0" xfId="0"/>
    <xf numFmtId="1" fontId="0" fillId="2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5" fontId="4" fillId="4" borderId="1" pivotButton="0" quotePrefix="0" xfId="0"/>
    <xf numFmtId="164" fontId="4" fillId="4" borderId="1" pivotButton="0" quotePrefix="0" xfId="0"/>
    <xf numFmtId="164" fontId="4" fillId="2" borderId="1" pivotButton="0" quotePrefix="0" xfId="0"/>
    <xf numFmtId="166" fontId="4" fillId="2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5" fontId="4" fillId="5" borderId="1" pivotButton="0" quotePrefix="0" xfId="0"/>
    <xf numFmtId="164" fontId="4" fillId="5" borderId="1" pivotButton="0" quotePrefix="0" xfId="0"/>
    <xf numFmtId="0" fontId="5" fillId="6" borderId="1" applyAlignment="1" pivotButton="0" quotePrefix="0" xfId="0">
      <alignment horizontal="center" vertical="center" wrapText="1"/>
    </xf>
    <xf numFmtId="0" fontId="2" fillId="6" borderId="1" pivotButton="0" quotePrefix="0" xfId="0"/>
    <xf numFmtId="165" fontId="2" fillId="6" borderId="1" pivotButton="0" quotePrefix="0" xfId="0"/>
    <xf numFmtId="164" fontId="2" fillId="6" borderId="1" pivotButton="0" quotePrefix="0" xfId="0"/>
    <xf numFmtId="0" fontId="3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2" fillId="0" borderId="1" pivotButton="0" quotePrefix="0" xfId="0"/>
    <xf numFmtId="0" fontId="0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1" fillId="0" borderId="0" pivotButton="0" quotePrefix="0" xfId="0"/>
    <xf numFmtId="0" fontId="3" fillId="6" borderId="0" pivotButton="0" quotePrefix="0" xfId="0"/>
    <xf numFmtId="0" fontId="2" fillId="4" borderId="1" pivotButton="0" quotePrefix="0" xfId="0"/>
    <xf numFmtId="164" fontId="0" fillId="4" borderId="1" pivotButton="0" quotePrefix="0" xfId="0"/>
    <xf numFmtId="0" fontId="2" fillId="5" borderId="1" pivotButton="0" quotePrefix="0" xfId="0"/>
    <xf numFmtId="164" fontId="0" fillId="5" borderId="1" pivotButton="0" quotePrefix="0" xfId="0"/>
    <xf numFmtId="165" fontId="0" fillId="5" borderId="1" pivotButton="0" quotePrefix="0" xfId="0"/>
    <xf numFmtId="1" fontId="0" fillId="4" borderId="1" pivotButton="0" quotePrefix="0" xfId="0"/>
    <xf numFmtId="1" fontId="0" fillId="5" borderId="1" pivotButton="0" quotePrefix="0" xfId="0"/>
    <xf numFmtId="0" fontId="3" fillId="3" borderId="1" pivotButton="0" quotePrefix="0" xfId="0"/>
    <xf numFmtId="0" fontId="4" fillId="4" borderId="1" pivotButton="0" quotePrefix="0" xfId="0"/>
    <xf numFmtId="0" fontId="4" fillId="5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2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166" fontId="4" fillId="2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4">
    <dxf>
      <font>
        <name val="Calibri"/>
        <b val="1"/>
        <color rgb="00DC2626"/>
        <sz val="10.5"/>
      </font>
    </dxf>
    <dxf>
      <font>
        <name val="Calibri"/>
        <b val="1"/>
        <color rgb="0022C55E"/>
        <sz val="10.5"/>
      </font>
    </dxf>
    <dxf>
      <font>
        <name val="Calibri"/>
        <b val="1"/>
        <color rgb="00DC2626"/>
        <sz val="10.5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.5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Charges appelées par type de lot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bord'!$A$16:$A$19</f>
            </numRef>
          </cat>
          <val>
            <numRef>
              <f>'Tableau de bord'!$B$16:$B$19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Charges appelées vs versées par lot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bord'!B23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bord'!$A$24:$A$32</f>
            </numRef>
          </cat>
          <val>
            <numRef>
              <f>'Tableau de bord'!$B$24:$B$32</f>
            </numRef>
          </val>
        </ser>
        <ser>
          <idx val="1"/>
          <order val="1"/>
          <tx>
            <strRef>
              <f>'Tableau de bord'!C23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'Tableau de bord'!$A$24:$A$32</f>
            </numRef>
          </cat>
          <val>
            <numRef>
              <f>'Tableau de bord'!$C$24:$C$32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N° de lot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13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22" customWidth="1" min="3" max="3"/>
    <col width="16" customWidth="1" min="4" max="4"/>
    <col width="13" customWidth="1" min="5" max="5"/>
    <col width="12" customWidth="1" min="6" max="6"/>
    <col width="20" customWidth="1" min="7" max="7"/>
    <col width="16" customWidth="1" min="8" max="8"/>
    <col width="16" customWidth="1" min="9" max="9"/>
    <col width="18" customWidth="1" min="10" max="10"/>
    <col width="14" customWidth="1" min="11" max="11"/>
    <col width="12" customWidth="1" min="12" max="12"/>
    <col width="18" customWidth="1" min="13" max="13"/>
    <col width="14" customWidth="1" min="14" max="14"/>
  </cols>
  <sheetData>
    <row r="1" ht="26" customHeight="1">
      <c r="A1" s="1" t="inlineStr">
        <is>
          <t>SUIVI DES CHARGES DE COPROPRIÉTÉ PAR LOT — 12 rue de la République, 69002 Lyon</t>
        </is>
      </c>
    </row>
    <row r="2"/>
    <row r="3">
      <c r="A3" s="2" t="inlineStr">
        <is>
          <t>Budget charges courantes annuel (€)</t>
        </is>
      </c>
      <c r="C3" s="3" t="n">
        <v>45000</v>
      </c>
      <c r="D3" s="2" t="inlineStr">
        <is>
          <t>Budget travaux exceptionnels (€)</t>
        </is>
      </c>
      <c r="F3" s="3" t="n">
        <v>12000</v>
      </c>
      <c r="G3" s="2" t="inlineStr">
        <is>
          <t>Total tantièmes copropriété</t>
        </is>
      </c>
      <c r="I3" s="4" t="n">
        <v>1000</v>
      </c>
    </row>
    <row r="4"/>
    <row r="5"/>
    <row r="6">
      <c r="A6" s="5" t="inlineStr">
        <is>
          <t>N° de lot</t>
        </is>
      </c>
      <c r="B6" s="5" t="inlineStr">
        <is>
          <t>Copropriétaire</t>
        </is>
      </c>
      <c r="C6" s="5" t="inlineStr">
        <is>
          <t>Étage / Emplacement</t>
        </is>
      </c>
      <c r="D6" s="5" t="inlineStr">
        <is>
          <t>Type de lot</t>
        </is>
      </c>
      <c r="E6" s="5" t="inlineStr">
        <is>
          <t>Tantièmes (‰)</t>
        </is>
      </c>
      <c r="F6" s="5" t="inlineStr">
        <is>
          <t>Quote-part (%)</t>
        </is>
      </c>
      <c r="G6" s="5" t="inlineStr">
        <is>
          <t>Charges courantes appelées (€)</t>
        </is>
      </c>
      <c r="H6" s="5" t="inlineStr">
        <is>
          <t>Charges travaux (€)</t>
        </is>
      </c>
      <c r="I6" s="5" t="inlineStr">
        <is>
          <t>Total appelé (€)</t>
        </is>
      </c>
      <c r="J6" s="5" t="inlineStr">
        <is>
          <t>Provisions versées (€)</t>
        </is>
      </c>
      <c r="K6" s="5" t="inlineStr">
        <is>
          <t>Solde (€)</t>
        </is>
      </c>
      <c r="L6" s="5" t="inlineStr">
        <is>
          <t>Statut</t>
        </is>
      </c>
      <c r="M6" s="5" t="inlineStr">
        <is>
          <t>Date dernier versement</t>
        </is>
      </c>
      <c r="N6" s="5" t="inlineStr">
        <is>
          <t>Retard (jours)</t>
        </is>
      </c>
    </row>
    <row r="7">
      <c r="A7" s="6" t="n">
        <v>1</v>
      </c>
      <c r="B7" s="7" t="inlineStr">
        <is>
          <t>Camille Durand</t>
        </is>
      </c>
      <c r="C7" s="7" t="inlineStr">
        <is>
          <t>1er étage - App. 1</t>
        </is>
      </c>
      <c r="D7" s="6" t="inlineStr">
        <is>
          <t>Appartement</t>
        </is>
      </c>
      <c r="E7" s="6" t="n">
        <v>150</v>
      </c>
      <c r="F7" s="8">
        <f>IFERROR(E7/$I$3,0)</f>
        <v/>
      </c>
      <c r="G7" s="9">
        <f>ROUND(F7*$C$3,2)</f>
        <v/>
      </c>
      <c r="H7" s="9">
        <f>ROUND(F7*$F$3,2)</f>
        <v/>
      </c>
      <c r="I7" s="9">
        <f>G7+H7</f>
        <v/>
      </c>
      <c r="J7" s="10" t="n">
        <v>7000</v>
      </c>
      <c r="K7" s="9">
        <f>I7-J7</f>
        <v/>
      </c>
      <c r="L7" s="6">
        <f>IF(K7&gt;0,"Impayé",IF(K7&lt;0,"Trop-perçu","Soldé"))</f>
        <v/>
      </c>
      <c r="M7" s="44" t="n">
        <v>46038</v>
      </c>
      <c r="N7" s="6">
        <f>IF(K7&gt;0,TODAY()-M7,0)</f>
        <v/>
      </c>
    </row>
    <row r="8">
      <c r="A8" s="12" t="n">
        <v>2</v>
      </c>
      <c r="B8" s="13" t="inlineStr">
        <is>
          <t>Julien Moreau</t>
        </is>
      </c>
      <c r="C8" s="13" t="inlineStr">
        <is>
          <t>1er étage - App. 2</t>
        </is>
      </c>
      <c r="D8" s="12" t="inlineStr">
        <is>
          <t>Appartement</t>
        </is>
      </c>
      <c r="E8" s="12" t="n">
        <v>120</v>
      </c>
      <c r="F8" s="14">
        <f>IFERROR(E8/$I$3,0)</f>
        <v/>
      </c>
      <c r="G8" s="15">
        <f>ROUND(F8*$C$3,2)</f>
        <v/>
      </c>
      <c r="H8" s="15">
        <f>ROUND(F8*$F$3,2)</f>
        <v/>
      </c>
      <c r="I8" s="15">
        <f>G8+H8</f>
        <v/>
      </c>
      <c r="J8" s="10" t="n">
        <v>5600</v>
      </c>
      <c r="K8" s="15">
        <f>I8-J8</f>
        <v/>
      </c>
      <c r="L8" s="12">
        <f>IF(K8&gt;0,"Impayé",IF(K8&lt;0,"Trop-perçu","Soldé"))</f>
        <v/>
      </c>
      <c r="M8" s="44" t="n">
        <v>46042</v>
      </c>
      <c r="N8" s="12">
        <f>IF(K8&gt;0,TODAY()-M8,0)</f>
        <v/>
      </c>
    </row>
    <row r="9">
      <c r="A9" s="6" t="n">
        <v>3</v>
      </c>
      <c r="B9" s="7" t="inlineStr">
        <is>
          <t>Sophie Lefèvre</t>
        </is>
      </c>
      <c r="C9" s="7" t="inlineStr">
        <is>
          <t>2ème étage - App. 3</t>
        </is>
      </c>
      <c r="D9" s="6" t="inlineStr">
        <is>
          <t>Appartement</t>
        </is>
      </c>
      <c r="E9" s="6" t="n">
        <v>90</v>
      </c>
      <c r="F9" s="8">
        <f>IFERROR(E9/$I$3,0)</f>
        <v/>
      </c>
      <c r="G9" s="9">
        <f>ROUND(F9*$C$3,2)</f>
        <v/>
      </c>
      <c r="H9" s="9">
        <f>ROUND(F9*$F$3,2)</f>
        <v/>
      </c>
      <c r="I9" s="9">
        <f>G9+H9</f>
        <v/>
      </c>
      <c r="J9" s="10" t="n">
        <v>4100</v>
      </c>
      <c r="K9" s="9">
        <f>I9-J9</f>
        <v/>
      </c>
      <c r="L9" s="6">
        <f>IF(K9&gt;0,"Impayé",IF(K9&lt;0,"Trop-perçu","Soldé"))</f>
        <v/>
      </c>
      <c r="M9" s="44" t="n">
        <v>46037</v>
      </c>
      <c r="N9" s="6">
        <f>IF(K9&gt;0,TODAY()-M9,0)</f>
        <v/>
      </c>
    </row>
    <row r="10">
      <c r="A10" s="12" t="n">
        <v>4</v>
      </c>
      <c r="B10" s="13" t="inlineStr">
        <is>
          <t>Thomas Bernard</t>
        </is>
      </c>
      <c r="C10" s="13" t="inlineStr">
        <is>
          <t>2ème étage - App. 4</t>
        </is>
      </c>
      <c r="D10" s="12" t="inlineStr">
        <is>
          <t>Appartement</t>
        </is>
      </c>
      <c r="E10" s="12" t="n">
        <v>80</v>
      </c>
      <c r="F10" s="14">
        <f>IFERROR(E10/$I$3,0)</f>
        <v/>
      </c>
      <c r="G10" s="15">
        <f>ROUND(F10*$C$3,2)</f>
        <v/>
      </c>
      <c r="H10" s="15">
        <f>ROUND(F10*$F$3,2)</f>
        <v/>
      </c>
      <c r="I10" s="15">
        <f>G10+H10</f>
        <v/>
      </c>
      <c r="J10" s="10" t="n">
        <v>3300</v>
      </c>
      <c r="K10" s="15">
        <f>I10-J10</f>
        <v/>
      </c>
      <c r="L10" s="12">
        <f>IF(K10&gt;0,"Impayé",IF(K10&lt;0,"Trop-perçu","Soldé"))</f>
        <v/>
      </c>
      <c r="M10" s="44" t="n">
        <v>46058</v>
      </c>
      <c r="N10" s="12">
        <f>IF(K10&gt;0,TODAY()-M10,0)</f>
        <v/>
      </c>
    </row>
    <row r="11">
      <c r="A11" s="6" t="n">
        <v>5</v>
      </c>
      <c r="B11" s="7" t="inlineStr">
        <is>
          <t>Léa Martin</t>
        </is>
      </c>
      <c r="C11" s="7" t="inlineStr">
        <is>
          <t>3ème étage - App. 5</t>
        </is>
      </c>
      <c r="D11" s="6" t="inlineStr">
        <is>
          <t>Appartement</t>
        </is>
      </c>
      <c r="E11" s="6" t="n">
        <v>60</v>
      </c>
      <c r="F11" s="8">
        <f>IFERROR(E11/$I$3,0)</f>
        <v/>
      </c>
      <c r="G11" s="9">
        <f>ROUND(F11*$C$3,2)</f>
        <v/>
      </c>
      <c r="H11" s="9">
        <f>ROUND(F11*$F$3,2)</f>
        <v/>
      </c>
      <c r="I11" s="9">
        <f>G11+H11</f>
        <v/>
      </c>
      <c r="J11" s="10" t="n">
        <v>2500</v>
      </c>
      <c r="K11" s="9">
        <f>I11-J11</f>
        <v/>
      </c>
      <c r="L11" s="6">
        <f>IF(K11&gt;0,"Impayé",IF(K11&lt;0,"Trop-perçu","Soldé"))</f>
        <v/>
      </c>
      <c r="M11" s="44" t="n">
        <v>46040</v>
      </c>
      <c r="N11" s="6">
        <f>IF(K11&gt;0,TODAY()-M11,0)</f>
        <v/>
      </c>
    </row>
    <row r="12">
      <c r="A12" s="12" t="n">
        <v>6</v>
      </c>
      <c r="B12" s="13" t="inlineStr">
        <is>
          <t>SCI Bellevue (SIRET 48254179600032)</t>
        </is>
      </c>
      <c r="C12" s="13" t="inlineStr">
        <is>
          <t>Rez-de-chaussée - Local</t>
        </is>
      </c>
      <c r="D12" s="12" t="inlineStr">
        <is>
          <t>Local commercial</t>
        </is>
      </c>
      <c r="E12" s="12" t="n">
        <v>200</v>
      </c>
      <c r="F12" s="14">
        <f>IFERROR(E12/$I$3,0)</f>
        <v/>
      </c>
      <c r="G12" s="15">
        <f>ROUND(F12*$C$3,2)</f>
        <v/>
      </c>
      <c r="H12" s="15">
        <f>ROUND(F12*$F$3,2)</f>
        <v/>
      </c>
      <c r="I12" s="15">
        <f>G12+H12</f>
        <v/>
      </c>
      <c r="J12" s="10" t="n">
        <v>9200</v>
      </c>
      <c r="K12" s="15">
        <f>I12-J12</f>
        <v/>
      </c>
      <c r="L12" s="12">
        <f>IF(K12&gt;0,"Impayé",IF(K12&lt;0,"Trop-perçu","Soldé"))</f>
        <v/>
      </c>
      <c r="M12" s="44" t="n">
        <v>46032</v>
      </c>
      <c r="N12" s="12">
        <f>IF(K12&gt;0,TODAY()-M12,0)</f>
        <v/>
      </c>
    </row>
    <row r="13">
      <c r="A13" s="6" t="n">
        <v>7</v>
      </c>
      <c r="B13" s="7" t="inlineStr">
        <is>
          <t>Nicolas Petit</t>
        </is>
      </c>
      <c r="C13" s="7" t="inlineStr">
        <is>
          <t>Sous-sol - Parking 1</t>
        </is>
      </c>
      <c r="D13" s="6" t="inlineStr">
        <is>
          <t>Parking</t>
        </is>
      </c>
      <c r="E13" s="6" t="n">
        <v>100</v>
      </c>
      <c r="F13" s="8">
        <f>IFERROR(E13/$I$3,0)</f>
        <v/>
      </c>
      <c r="G13" s="9">
        <f>ROUND(F13*$C$3,2)</f>
        <v/>
      </c>
      <c r="H13" s="9">
        <f>ROUND(F13*$F$3,2)</f>
        <v/>
      </c>
      <c r="I13" s="9">
        <f>G13+H13</f>
        <v/>
      </c>
      <c r="J13" s="10" t="n">
        <v>4400</v>
      </c>
      <c r="K13" s="9">
        <f>I13-J13</f>
        <v/>
      </c>
      <c r="L13" s="6">
        <f>IF(K13&gt;0,"Impayé",IF(K13&lt;0,"Trop-perçu","Soldé"))</f>
        <v/>
      </c>
      <c r="M13" s="44" t="n">
        <v>46044</v>
      </c>
      <c r="N13" s="6">
        <f>IF(K13&gt;0,TODAY()-M13,0)</f>
        <v/>
      </c>
    </row>
    <row r="14">
      <c r="A14" s="12" t="n">
        <v>8</v>
      </c>
      <c r="B14" s="13" t="inlineStr">
        <is>
          <t>Émilie Rousseau</t>
        </is>
      </c>
      <c r="C14" s="13" t="inlineStr">
        <is>
          <t>Sous-sol - Parking 2</t>
        </is>
      </c>
      <c r="D14" s="12" t="inlineStr">
        <is>
          <t>Parking</t>
        </is>
      </c>
      <c r="E14" s="12" t="n">
        <v>110</v>
      </c>
      <c r="F14" s="14">
        <f>IFERROR(E14/$I$3,0)</f>
        <v/>
      </c>
      <c r="G14" s="15">
        <f>ROUND(F14*$C$3,2)</f>
        <v/>
      </c>
      <c r="H14" s="15">
        <f>ROUND(F14*$F$3,2)</f>
        <v/>
      </c>
      <c r="I14" s="15">
        <f>G14+H14</f>
        <v/>
      </c>
      <c r="J14" s="10" t="n">
        <v>4900</v>
      </c>
      <c r="K14" s="15">
        <f>I14-J14</f>
        <v/>
      </c>
      <c r="L14" s="12">
        <f>IF(K14&gt;0,"Impayé",IF(K14&lt;0,"Trop-perçu","Soldé"))</f>
        <v/>
      </c>
      <c r="M14" s="44" t="n">
        <v>46054</v>
      </c>
      <c r="N14" s="12">
        <f>IF(K14&gt;0,TODAY()-M14,0)</f>
        <v/>
      </c>
    </row>
    <row r="15">
      <c r="A15" s="6" t="n">
        <v>9</v>
      </c>
      <c r="B15" s="7" t="inlineStr">
        <is>
          <t>Antoine Garcia</t>
        </is>
      </c>
      <c r="C15" s="7" t="inlineStr">
        <is>
          <t>Sous-sol - Cave 1</t>
        </is>
      </c>
      <c r="D15" s="6" t="inlineStr">
        <is>
          <t>Cave</t>
        </is>
      </c>
      <c r="E15" s="6" t="n">
        <v>90</v>
      </c>
      <c r="F15" s="8">
        <f>IFERROR(E15/$I$3,0)</f>
        <v/>
      </c>
      <c r="G15" s="9">
        <f>ROUND(F15*$C$3,2)</f>
        <v/>
      </c>
      <c r="H15" s="9">
        <f>ROUND(F15*$F$3,2)</f>
        <v/>
      </c>
      <c r="I15" s="9">
        <f>G15+H15</f>
        <v/>
      </c>
      <c r="J15" s="10" t="n">
        <v>3600</v>
      </c>
      <c r="K15" s="9">
        <f>I15-J15</f>
        <v/>
      </c>
      <c r="L15" s="6">
        <f>IF(K15&gt;0,"Impayé",IF(K15&lt;0,"Trop-perçu","Soldé"))</f>
        <v/>
      </c>
      <c r="M15" s="44" t="n">
        <v>46034</v>
      </c>
      <c r="N15" s="6">
        <f>IF(K15&gt;0,TODAY()-M15,0)</f>
        <v/>
      </c>
    </row>
    <row r="16">
      <c r="A16" s="16" t="inlineStr">
        <is>
          <t>TOTAL</t>
        </is>
      </c>
      <c r="B16" s="45" t="n"/>
      <c r="C16" s="45" t="n"/>
      <c r="D16" s="46" t="n"/>
      <c r="E16" s="17">
        <f>SUM(E7:E15)</f>
        <v/>
      </c>
      <c r="F16" s="18">
        <f>SUM(F7:F15)</f>
        <v/>
      </c>
      <c r="G16" s="19">
        <f>SUM(G7:G15)</f>
        <v/>
      </c>
      <c r="H16" s="19">
        <f>SUM(H7:H15)</f>
        <v/>
      </c>
      <c r="I16" s="19">
        <f>SUM(I7:I15)</f>
        <v/>
      </c>
      <c r="J16" s="19">
        <f>SUM(J7:J15)</f>
        <v/>
      </c>
      <c r="K16" s="19">
        <f>SUM(K7:K15)</f>
        <v/>
      </c>
      <c r="L16" s="17" t="n"/>
      <c r="M16" s="17" t="n"/>
      <c r="N16" s="17" t="n"/>
    </row>
    <row r="17"/>
    <row r="18"/>
    <row r="19">
      <c r="A19" s="20" t="inlineStr">
        <is>
          <t>RECHERCHE PAR N° DE LOT</t>
        </is>
      </c>
    </row>
    <row r="20">
      <c r="A20" s="22" t="inlineStr">
        <is>
          <t>N° de lot recherché :</t>
        </is>
      </c>
      <c r="B20" s="23" t="n">
        <v>3</v>
      </c>
    </row>
    <row r="21">
      <c r="A21" s="22" t="inlineStr">
        <is>
          <t>Copropriétaire :</t>
        </is>
      </c>
      <c r="B21" s="24">
        <f>IFERROR(VLOOKUP(B20,A7:N15,2,0),"Lot introuvable")</f>
        <v/>
      </c>
    </row>
    <row r="22">
      <c r="A22" s="22" t="inlineStr">
        <is>
          <t>Total appelé (€) :</t>
        </is>
      </c>
      <c r="B22" s="25">
        <f>IFERROR(VLOOKUP(B20,A7:N15,9,0),0)</f>
        <v/>
      </c>
    </row>
    <row r="23">
      <c r="A23" s="22" t="inlineStr">
        <is>
          <t>Solde (€) :</t>
        </is>
      </c>
      <c r="B23" s="25">
        <f>IFERROR(VLOOKUP(B20,A7:N15,11,0),0)</f>
        <v/>
      </c>
    </row>
    <row r="24">
      <c r="A24" s="22" t="inlineStr">
        <is>
          <t>Statut :</t>
        </is>
      </c>
      <c r="B24" s="24">
        <f>IFERROR(VLOOKUP(B20,A7:N15,12,0),"")</f>
        <v/>
      </c>
    </row>
  </sheetData>
  <mergeCells count="3">
    <mergeCell ref="A1:N1"/>
    <mergeCell ref="A16:D16"/>
    <mergeCell ref="A19:C19"/>
  </mergeCells>
  <conditionalFormatting sqref="K7:K15">
    <cfRule type="expression" priority="1" dxfId="0" stopIfTrue="1">
      <formula>K7&gt;0</formula>
    </cfRule>
    <cfRule type="expression" priority="2" dxfId="1" stopIfTrue="1">
      <formula>K7&lt;=0</formula>
    </cfRule>
  </conditionalFormatting>
  <conditionalFormatting sqref="L7:L15">
    <cfRule type="expression" priority="3" dxfId="2" stopIfTrue="1">
      <formula>L7="Impayé"</formula>
    </cfRule>
    <cfRule type="expression" priority="4" dxfId="3" stopIfTrue="1">
      <formula>L7="Soldé"</formula>
    </cfRule>
  </conditionalFormatting>
  <dataValidations count="1">
    <dataValidation sqref="D7:D15" showErrorMessage="1" showInputMessage="1" allowBlank="1" type="list">
      <formula1>"Appartement,Parking,Cave,Local commercial"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26" t="inlineStr">
        <is>
          <t>TABLEAU DE BORD — COPROPRIÉTÉ 12 RUE DE LA RÉPUBLIQUE</t>
        </is>
      </c>
    </row>
    <row r="2"/>
    <row r="3">
      <c r="A3" s="27" t="inlineStr">
        <is>
          <t>INDICATEURS CLÉS</t>
        </is>
      </c>
    </row>
    <row r="4">
      <c r="A4" s="28" t="inlineStr">
        <is>
          <t>Budget charges courantes (€)</t>
        </is>
      </c>
      <c r="B4" s="29">
        <f>'Charges par lot'!C3</f>
        <v/>
      </c>
    </row>
    <row r="5">
      <c r="A5" s="30" t="inlineStr">
        <is>
          <t>Budget travaux (€)</t>
        </is>
      </c>
      <c r="B5" s="31">
        <f>'Charges par lot'!F3</f>
        <v/>
      </c>
    </row>
    <row r="6">
      <c r="A6" s="28" t="inlineStr">
        <is>
          <t>Total appelé (€)</t>
        </is>
      </c>
      <c r="B6" s="29">
        <f>'Charges par lot'!I16</f>
        <v/>
      </c>
    </row>
    <row r="7">
      <c r="A7" s="30" t="inlineStr">
        <is>
          <t>Total versé (€)</t>
        </is>
      </c>
      <c r="B7" s="31">
        <f>'Charges par lot'!J16</f>
        <v/>
      </c>
    </row>
    <row r="8">
      <c r="A8" s="28" t="inlineStr">
        <is>
          <t>Solde global (€)</t>
        </is>
      </c>
      <c r="B8" s="29">
        <f>'Charges par lot'!K16</f>
        <v/>
      </c>
    </row>
    <row r="9">
      <c r="A9" s="30" t="inlineStr">
        <is>
          <t>Taux de recouvrement (%)</t>
        </is>
      </c>
      <c r="B9" s="32">
        <f>IFERROR('Charges par lot'!J16/'Charges par lot'!I16,0)</f>
        <v/>
      </c>
    </row>
    <row r="10">
      <c r="A10" s="28" t="inlineStr">
        <is>
          <t>Nombre de lots impayés</t>
        </is>
      </c>
      <c r="B10" s="33">
        <f>COUNTIF('Charges par lot'!L7:L15,"Impayé")</f>
        <v/>
      </c>
    </row>
    <row r="11">
      <c r="A11" s="30" t="inlineStr">
        <is>
          <t>Nombre de lots soldés</t>
        </is>
      </c>
      <c r="B11" s="34">
        <f>COUNTIF('Charges par lot'!L7:L15,"Soldé")</f>
        <v/>
      </c>
    </row>
    <row r="12"/>
    <row r="13"/>
    <row r="14">
      <c r="A14" s="27" t="inlineStr">
        <is>
          <t>RÉPARTITION DES CHARGES APPELÉES PAR TYPE DE LOT</t>
        </is>
      </c>
    </row>
    <row r="15">
      <c r="A15" s="35" t="inlineStr">
        <is>
          <t>Type de lot</t>
        </is>
      </c>
      <c r="B15" s="35" t="inlineStr">
        <is>
          <t>Total appelé (€)</t>
        </is>
      </c>
    </row>
    <row r="16">
      <c r="A16" s="36" t="inlineStr">
        <is>
          <t>Appartement</t>
        </is>
      </c>
      <c r="B16" s="29">
        <f>SUMIF('Charges par lot'!D7:D15,A16,'Charges par lot'!I7:I15)</f>
        <v/>
      </c>
    </row>
    <row r="17">
      <c r="A17" s="37" t="inlineStr">
        <is>
          <t>Parking</t>
        </is>
      </c>
      <c r="B17" s="31">
        <f>SUMIF('Charges par lot'!D7:D15,A17,'Charges par lot'!I7:I15)</f>
        <v/>
      </c>
    </row>
    <row r="18">
      <c r="A18" s="36" t="inlineStr">
        <is>
          <t>Cave</t>
        </is>
      </c>
      <c r="B18" s="29">
        <f>SUMIF('Charges par lot'!D7:D15,A18,'Charges par lot'!I7:I15)</f>
        <v/>
      </c>
    </row>
    <row r="19">
      <c r="A19" s="37" t="inlineStr">
        <is>
          <t>Local commercial</t>
        </is>
      </c>
      <c r="B19" s="31">
        <f>SUMIF('Charges par lot'!D7:D15,A19,'Charges par lot'!I7:I15)</f>
        <v/>
      </c>
    </row>
    <row r="20"/>
    <row r="21"/>
    <row r="22">
      <c r="A22" s="27" t="inlineStr">
        <is>
          <t>APPELÉ vs VERSÉ PAR LOT</t>
        </is>
      </c>
    </row>
    <row r="23">
      <c r="A23" s="35" t="inlineStr">
        <is>
          <t>N° de lot</t>
        </is>
      </c>
      <c r="B23" s="35" t="inlineStr">
        <is>
          <t>Total appelé (€)</t>
        </is>
      </c>
      <c r="C23" s="35" t="inlineStr">
        <is>
          <t>Provisions versées (€)</t>
        </is>
      </c>
    </row>
    <row r="24">
      <c r="A24" s="38">
        <f>'Charges par lot'!A7</f>
        <v/>
      </c>
      <c r="B24" s="29">
        <f>'Charges par lot'!I7</f>
        <v/>
      </c>
      <c r="C24" s="29">
        <f>'Charges par lot'!J7</f>
        <v/>
      </c>
    </row>
    <row r="25">
      <c r="A25" s="39">
        <f>'Charges par lot'!A8</f>
        <v/>
      </c>
      <c r="B25" s="31">
        <f>'Charges par lot'!I8</f>
        <v/>
      </c>
      <c r="C25" s="31">
        <f>'Charges par lot'!J8</f>
        <v/>
      </c>
    </row>
    <row r="26">
      <c r="A26" s="38">
        <f>'Charges par lot'!A9</f>
        <v/>
      </c>
      <c r="B26" s="29">
        <f>'Charges par lot'!I9</f>
        <v/>
      </c>
      <c r="C26" s="29">
        <f>'Charges par lot'!J9</f>
        <v/>
      </c>
    </row>
    <row r="27">
      <c r="A27" s="39">
        <f>'Charges par lot'!A10</f>
        <v/>
      </c>
      <c r="B27" s="31">
        <f>'Charges par lot'!I10</f>
        <v/>
      </c>
      <c r="C27" s="31">
        <f>'Charges par lot'!J10</f>
        <v/>
      </c>
    </row>
    <row r="28">
      <c r="A28" s="38">
        <f>'Charges par lot'!A11</f>
        <v/>
      </c>
      <c r="B28" s="29">
        <f>'Charges par lot'!I11</f>
        <v/>
      </c>
      <c r="C28" s="29">
        <f>'Charges par lot'!J11</f>
        <v/>
      </c>
    </row>
    <row r="29">
      <c r="A29" s="39">
        <f>'Charges par lot'!A12</f>
        <v/>
      </c>
      <c r="B29" s="31">
        <f>'Charges par lot'!I12</f>
        <v/>
      </c>
      <c r="C29" s="31">
        <f>'Charges par lot'!J12</f>
        <v/>
      </c>
    </row>
    <row r="30">
      <c r="A30" s="38">
        <f>'Charges par lot'!A13</f>
        <v/>
      </c>
      <c r="B30" s="29">
        <f>'Charges par lot'!I13</f>
        <v/>
      </c>
      <c r="C30" s="29">
        <f>'Charges par lot'!J13</f>
        <v/>
      </c>
    </row>
    <row r="31">
      <c r="A31" s="39">
        <f>'Charges par lot'!A14</f>
        <v/>
      </c>
      <c r="B31" s="31">
        <f>'Charges par lot'!I14</f>
        <v/>
      </c>
      <c r="C31" s="31">
        <f>'Charges par lot'!J14</f>
        <v/>
      </c>
    </row>
    <row r="32">
      <c r="A32" s="38">
        <f>'Charges par lot'!A15</f>
        <v/>
      </c>
      <c r="B32" s="29">
        <f>'Charges par lot'!I15</f>
        <v/>
      </c>
      <c r="C32" s="29">
        <f>'Charges par lot'!J15</f>
        <v/>
      </c>
    </row>
  </sheetData>
  <mergeCells count="4">
    <mergeCell ref="A1:H1"/>
    <mergeCell ref="A3:B3"/>
    <mergeCell ref="A14:C14"/>
    <mergeCell ref="A22:D2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2" customWidth="1" min="1" max="1"/>
    <col width="90" customWidth="1" min="2" max="2"/>
  </cols>
  <sheetData>
    <row r="1" ht="24" customHeight="1">
      <c r="A1" s="26" t="inlineStr">
        <is>
          <t>MODE D'EMPLOI</t>
        </is>
      </c>
    </row>
    <row r="2"/>
    <row r="3" ht="45" customHeight="1">
      <c r="A3" s="40" t="inlineStr">
        <is>
          <t>Objectif du classeur</t>
        </is>
      </c>
      <c r="B3" s="41" t="inlineStr">
        <is>
          <t>Ce classeur permet de suivre les charges de copropriété appelées et versées, lot par lot, pour un immeuble en copropriété.</t>
        </is>
      </c>
    </row>
    <row r="4" ht="45" customHeight="1">
      <c r="A4" s="42" t="inlineStr">
        <is>
          <t>Feuille « Charges par lot »</t>
        </is>
      </c>
      <c r="B4" s="43" t="inlineStr">
        <is>
          <t>Contient la liste des lots, les copropriétaires, les tantièmes (millièmes), les quotes-parts calculées automatiquement, les charges courantes et travaux appelées, les provisions versées et le solde restant.</t>
        </is>
      </c>
    </row>
    <row r="5" ht="45" customHeight="1">
      <c r="A5" s="40" t="inlineStr">
        <is>
          <t>Cellules jaunes</t>
        </is>
      </c>
      <c r="B5" s="41" t="inlineStr">
        <is>
          <t>Les cellules à fond jaune pâle (budgets, provisions versées, dates de paiement, type de lot) sont modifiables. Toutes les autres cellules contiennent des formules automatiques.</t>
        </is>
      </c>
    </row>
    <row r="6" ht="45" customHeight="1">
      <c r="A6" s="42" t="inlineStr">
        <is>
          <t>Quote-part (%)</t>
        </is>
      </c>
      <c r="B6" s="43" t="inlineStr">
        <is>
          <t>Calculée automatiquement selon la formule = Tantièmes du lot / Total des tantièmes de la copropriété (cellule I3).</t>
        </is>
      </c>
    </row>
    <row r="7" ht="45" customHeight="1">
      <c r="A7" s="40" t="inlineStr">
        <is>
          <t>Charges appelées</t>
        </is>
      </c>
      <c r="B7" s="41" t="inlineStr">
        <is>
          <t>Les charges courantes et travaux sont réparties automatiquement au prorata de la quote-part de chaque lot, à partir des budgets saisis en haut de la feuille.</t>
        </is>
      </c>
    </row>
    <row r="8" ht="45" customHeight="1">
      <c r="A8" s="42" t="inlineStr">
        <is>
          <t>Solde et statut</t>
        </is>
      </c>
      <c r="B8" s="43" t="inlineStr">
        <is>
          <t>Le solde = Total appelé - Provisions versées. Le statut affiche automatiquement « Impayé », « Trop-perçu » ou « Soldé » selon le signe du solde.</t>
        </is>
      </c>
    </row>
    <row r="9" ht="45" customHeight="1">
      <c r="A9" s="40" t="inlineStr">
        <is>
          <t>Retard (jours)</t>
        </is>
      </c>
      <c r="B9" s="41" t="inlineStr">
        <is>
          <t>Indique le nombre de jours écoulés depuis la date du dernier versement si le lot est en situation d'impayé.</t>
        </is>
      </c>
    </row>
    <row r="10" ht="45" customHeight="1">
      <c r="A10" s="42" t="inlineStr">
        <is>
          <t>Recherche par lot</t>
        </is>
      </c>
      <c r="B10" s="43" t="inlineStr">
        <is>
          <t>En bas de la feuille « Charges par lot », saisissez un numéro de lot dans la case jaune pour afficher automatiquement le copropriétaire, le montant appelé, le solde et le statut correspondants (formule VLOOKUP).</t>
        </is>
      </c>
    </row>
    <row r="11" ht="45" customHeight="1">
      <c r="A11" s="40" t="inlineStr">
        <is>
          <t>Feuille « Tableau de bord »</t>
        </is>
      </c>
      <c r="B11" s="41" t="inlineStr">
        <is>
          <t>Synthétise les indicateurs clés (budgets, totaux, taux de recouvrement, nombre de lots impayés/soldés) et propose deux graphiques : répartition des charges par type de lot et comparaison appelé/versé par lot.</t>
        </is>
      </c>
    </row>
    <row r="12" ht="45" customHeight="1">
      <c r="A12" s="42" t="inlineStr">
        <is>
          <t>Mise à jour</t>
        </is>
      </c>
      <c r="B12" s="43" t="inlineStr">
        <is>
          <t>Pensez à mettre à jour les provisions versées et les dates de paiement à chaque nouvel encaissement pour garder un suivi fiable de la trésorerie de la copropriété.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2026-07-20T09:26:42Z</dcterms:created>
  <dcterms:modified xmlns:dcterms="http://purl.org/dc/terms/" xmlns:xsi="http://www.w3.org/2001/XMLSchema-instance" xsi:type="dcterms:W3CDTF">2026-07-20T09:26:42Z</dcterms:modified>
</cp:coreProperties>
</file>