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ramètres" sheetId="1" state="visible" r:id="rId1"/>
    <sheet xmlns:r="http://schemas.openxmlformats.org/officeDocument/2006/relationships" name="Amortissement annuel"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6">
    <numFmt numFmtId="164" formatCode="# ##0 €"/>
    <numFmt numFmtId="165" formatCode="0,00%"/>
    <numFmt numFmtId="166" formatCode="0,0000%"/>
    <numFmt numFmtId="167" formatCode="# ##0,00 €"/>
    <numFmt numFmtId="168" formatCode="DD/MM/AAAA"/>
    <numFmt numFmtId="169" formatCode="0 &quot;années&quot;"/>
  </numFmts>
  <fonts count="9">
    <font>
      <name val="Calibri"/>
      <family val="2"/>
      <color theme="1"/>
      <sz val="11"/>
      <scheme val="minor"/>
    </font>
    <font>
      <b val="1"/>
      <color rgb="000F766E"/>
      <sz val="16"/>
    </font>
    <font>
      <b val="1"/>
      <color rgb="00FFFFFF"/>
      <sz val="11"/>
    </font>
    <font>
      <b val="1"/>
      <color rgb="001F2937"/>
      <sz val="10"/>
    </font>
    <font>
      <color rgb="001F2937"/>
      <sz val="10"/>
    </font>
    <font>
      <b val="1"/>
      <color rgb="000F766E"/>
      <sz val="10"/>
    </font>
    <font>
      <b val="1"/>
      <color rgb="00FFFFFF"/>
    </font>
    <font>
      <b val="1"/>
      <color rgb="00FFFFFF"/>
      <sz val="10"/>
    </font>
    <font>
      <b val="1"/>
      <color rgb="000F766E"/>
      <sz val="12"/>
    </font>
  </fonts>
  <fills count="7">
    <fill>
      <patternFill/>
    </fill>
    <fill>
      <patternFill patternType="gray125"/>
    </fill>
    <fill>
      <patternFill patternType="solid">
        <fgColor rgb="000F766E"/>
        <bgColor rgb="000F766E"/>
      </patternFill>
    </fill>
    <fill>
      <patternFill patternType="solid">
        <fgColor rgb="00FFFBEB"/>
        <bgColor rgb="00FFFBEB"/>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1">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3" fillId="0" borderId="1" applyAlignment="1" pivotButton="0" quotePrefix="0" xfId="0">
      <alignment horizontal="left" vertical="center"/>
    </xf>
    <xf numFmtId="164" fontId="4" fillId="3" borderId="1" applyAlignment="1" pivotButton="0" quotePrefix="0" xfId="0">
      <alignment horizontal="right" vertical="center"/>
    </xf>
    <xf numFmtId="0" fontId="4" fillId="0" borderId="1" applyAlignment="1" pivotButton="0" quotePrefix="0" xfId="0">
      <alignment horizontal="center" vertical="center" wrapText="1"/>
    </xf>
    <xf numFmtId="164" fontId="5" fillId="4" borderId="1" applyAlignment="1" pivotButton="0" quotePrefix="0" xfId="0">
      <alignment horizontal="left" vertical="center"/>
    </xf>
    <xf numFmtId="165" fontId="4" fillId="3" borderId="1" applyAlignment="1" pivotButton="0" quotePrefix="0" xfId="0">
      <alignment horizontal="right" vertical="center"/>
    </xf>
    <xf numFmtId="1" fontId="4" fillId="3" borderId="1" applyAlignment="1" pivotButton="0" quotePrefix="0" xfId="0">
      <alignment horizontal="right" vertical="center"/>
    </xf>
    <xf numFmtId="166" fontId="5" fillId="4" borderId="1" applyAlignment="1" pivotButton="0" quotePrefix="0" xfId="0">
      <alignment horizontal="left" vertical="center"/>
    </xf>
    <xf numFmtId="1" fontId="5" fillId="4" borderId="1" applyAlignment="1" pivotButton="0" quotePrefix="0" xfId="0">
      <alignment horizontal="left" vertical="center"/>
    </xf>
    <xf numFmtId="167" fontId="5" fillId="4" borderId="1" applyAlignment="1" pivotButton="0" quotePrefix="0" xfId="0">
      <alignment horizontal="left" vertical="center"/>
    </xf>
    <xf numFmtId="168" fontId="4" fillId="3" borderId="1" applyAlignment="1" pivotButton="0" quotePrefix="0" xfId="0">
      <alignment horizontal="right" vertical="center"/>
    </xf>
    <xf numFmtId="0" fontId="4" fillId="3" borderId="1" applyAlignment="1" pivotButton="0" quotePrefix="0" xfId="0">
      <alignment horizontal="right" vertical="center"/>
    </xf>
    <xf numFmtId="0" fontId="3" fillId="5" borderId="1" applyAlignment="1" pivotButton="0" quotePrefix="0" xfId="0">
      <alignment horizontal="center" vertical="center" wrapText="1"/>
    </xf>
    <xf numFmtId="168" fontId="4" fillId="5" borderId="1" applyAlignment="1" pivotButton="0" quotePrefix="0" xfId="0">
      <alignment horizontal="center" vertical="center" wrapText="1"/>
    </xf>
    <xf numFmtId="167" fontId="4" fillId="5" borderId="1" applyAlignment="1" pivotButton="0" quotePrefix="0" xfId="0">
      <alignment horizontal="right" vertical="center"/>
    </xf>
    <xf numFmtId="165" fontId="4" fillId="5" borderId="1" applyAlignment="1" pivotButton="0" quotePrefix="0" xfId="0">
      <alignment horizontal="right" vertical="center"/>
    </xf>
    <xf numFmtId="0" fontId="3" fillId="4" borderId="1" applyAlignment="1" pivotButton="0" quotePrefix="0" xfId="0">
      <alignment horizontal="center" vertical="center" wrapText="1"/>
    </xf>
    <xf numFmtId="168" fontId="4" fillId="4" borderId="1" applyAlignment="1" pivotButton="0" quotePrefix="0" xfId="0">
      <alignment horizontal="center" vertical="center" wrapText="1"/>
    </xf>
    <xf numFmtId="167" fontId="4" fillId="4" borderId="1" applyAlignment="1" pivotButton="0" quotePrefix="0" xfId="0">
      <alignment horizontal="right" vertical="center"/>
    </xf>
    <xf numFmtId="165" fontId="4" fillId="4" borderId="1" applyAlignment="1" pivotButton="0" quotePrefix="0" xfId="0">
      <alignment horizontal="right" vertical="center"/>
    </xf>
    <xf numFmtId="0" fontId="0" fillId="6" borderId="1" pivotButton="0" quotePrefix="0" xfId="0"/>
    <xf numFmtId="0" fontId="6" fillId="6" borderId="1" applyAlignment="1" pivotButton="0" quotePrefix="0" xfId="0">
      <alignment horizontal="center" vertical="center" wrapText="1"/>
    </xf>
    <xf numFmtId="164" fontId="6" fillId="6" borderId="1" applyAlignment="1" pivotButton="0" quotePrefix="0" xfId="0">
      <alignment horizontal="right" vertical="center"/>
    </xf>
    <xf numFmtId="0" fontId="7" fillId="6" borderId="1" applyAlignment="1" pivotButton="0" quotePrefix="0" xfId="0">
      <alignment horizontal="left" vertical="center"/>
    </xf>
    <xf numFmtId="0" fontId="0" fillId="0" borderId="4" pivotButton="0" quotePrefix="0" xfId="0"/>
    <xf numFmtId="0" fontId="0" fillId="0" borderId="5" pivotButton="0" quotePrefix="0" xfId="0"/>
    <xf numFmtId="164" fontId="8" fillId="4" borderId="1" applyAlignment="1" pivotButton="0" quotePrefix="0" xfId="0">
      <alignment horizontal="right" vertical="center"/>
    </xf>
    <xf numFmtId="167" fontId="8" fillId="4" borderId="1" applyAlignment="1" pivotButton="0" quotePrefix="0" xfId="0">
      <alignment horizontal="right" vertical="center"/>
    </xf>
    <xf numFmtId="169" fontId="8" fillId="4" borderId="1" applyAlignment="1" pivotButton="0" quotePrefix="0" xfId="0">
      <alignment horizontal="right" vertical="center"/>
    </xf>
    <xf numFmtId="0" fontId="3" fillId="0" borderId="0" pivotButton="0" quotePrefix="0" xfId="0"/>
    <xf numFmtId="0" fontId="2" fillId="2" borderId="1" pivotButton="0" quotePrefix="0" xfId="0"/>
    <xf numFmtId="0" fontId="4" fillId="0" borderId="1" pivotButton="0" quotePrefix="0" xfId="0"/>
    <xf numFmtId="164" fontId="4" fillId="0" borderId="1" pivotButton="0" quotePrefix="0" xfId="0"/>
    <xf numFmtId="0" fontId="7" fillId="6" borderId="1" applyAlignment="1" pivotButton="0" quotePrefix="0" xfId="0">
      <alignment horizontal="left" vertical="top"/>
    </xf>
    <xf numFmtId="0" fontId="4" fillId="0" borderId="1" applyAlignment="1" pivotButton="0" quotePrefix="0" xfId="0">
      <alignment horizontal="left" vertical="top" wrapText="1"/>
    </xf>
    <xf numFmtId="168" fontId="4" fillId="3" borderId="1" applyAlignment="1" pivotButton="0" quotePrefix="0" xfId="0">
      <alignment horizontal="right" vertical="center"/>
    </xf>
    <xf numFmtId="168" fontId="4" fillId="5" borderId="1" applyAlignment="1" pivotButton="0" quotePrefix="0" xfId="0">
      <alignment horizontal="center" vertical="center" wrapText="1"/>
    </xf>
    <xf numFmtId="168" fontId="4" fillId="4" borderId="1" applyAlignment="1" pivotButton="0" quotePrefix="0" xfId="0">
      <alignment horizontal="center" vertical="center" wrapText="1"/>
    </xf>
    <xf numFmtId="169" fontId="8" fillId="4" borderId="1" applyAlignment="1" pivotButton="0" quotePrefix="0" xfId="0">
      <alignment horizontal="right" vertical="center"/>
    </xf>
  </cellXfs>
  <cellStyles count="1">
    <cellStyle name="Normal" xfId="0" builtinId="0" hidden="0"/>
  </cellStyles>
  <dxfs count="1">
    <dxf>
      <font>
        <b val="1"/>
        <color rgb="00DC2626"/>
      </font>
      <fill>
        <patternFill patternType="solid">
          <fgColor rgb="00FEF3C7"/>
          <bgColor rgb="00FEF3C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Répartition du coût total du crédit</a:t>
            </a:r>
          </a:p>
        </rich>
      </tx>
    </title>
    <plotArea>
      <pieChart>
        <varyColors val="1"/>
        <ser>
          <idx val="0"/>
          <order val="0"/>
          <tx>
            <strRef>
              <f>'Tableau de bord'!B11</f>
            </strRef>
          </tx>
          <spPr>
            <a:ln xmlns:a="http://schemas.openxmlformats.org/drawingml/2006/main">
              <a:prstDash val="solid"/>
            </a:ln>
          </spPr>
          <cat>
            <numRef>
              <f>'Tableau de bord'!$A$12:$A$14</f>
            </numRef>
          </cat>
          <val>
            <numRef>
              <f>'Tableau de bord'!$B$12:$B$14</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Évolution du capital restant dû</a:t>
            </a:r>
          </a:p>
        </rich>
      </tx>
    </title>
    <plotArea>
      <lineChart>
        <grouping val="standard"/>
        <ser>
          <idx val="0"/>
          <order val="0"/>
          <tx>
            <strRef>
              <f>'Amortissement annuel'!H3</f>
            </strRef>
          </tx>
          <spPr>
            <a:ln xmlns:a="http://schemas.openxmlformats.org/drawingml/2006/main" w="25000">
              <a:solidFill>
                <a:srgbClr val="0F766E"/>
              </a:solidFill>
              <a:prstDash val="solid"/>
            </a:ln>
          </spPr>
          <marker>
            <symbol val="none"/>
            <spPr>
              <a:ln xmlns:a="http://schemas.openxmlformats.org/drawingml/2006/main">
                <a:prstDash val="solid"/>
              </a:ln>
            </spPr>
          </marker>
          <cat>
            <numRef>
              <f>'Amortissement annuel'!$A$4:$A$23</f>
            </numRef>
          </cat>
          <val>
            <numRef>
              <f>'Amortissement annuel'!$H$4:$H$23</f>
            </numRef>
          </val>
        </ser>
        <axId val="10"/>
        <axId val="100"/>
      </lineChart>
      <catAx>
        <axId val="10"/>
        <scaling>
          <orientation val="minMax"/>
        </scaling>
        <axPos val="l"/>
        <title>
          <tx>
            <rich>
              <a:bodyPr xmlns:a="http://schemas.openxmlformats.org/drawingml/2006/main"/>
              <a:p xmlns:a="http://schemas.openxmlformats.org/drawingml/2006/main">
                <a:pPr>
                  <a:defRPr/>
                </a:pPr>
                <a:r>
                  <a:t>Année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Capital restant dû (€)</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Intérêts vs Capital remboursé par année</a:t>
            </a:r>
          </a:p>
        </rich>
      </tx>
    </title>
    <plotArea>
      <barChart>
        <barDir val="col"/>
        <grouping val="stacked"/>
        <ser>
          <idx val="0"/>
          <order val="0"/>
          <tx>
            <strRef>
              <f>'Amortissement annuel'!D3</f>
            </strRef>
          </tx>
          <spPr>
            <a:solidFill xmlns:a="http://schemas.openxmlformats.org/drawingml/2006/main">
              <a:srgbClr val="DC2626"/>
            </a:solidFill>
            <a:ln xmlns:a="http://schemas.openxmlformats.org/drawingml/2006/main">
              <a:prstDash val="solid"/>
            </a:ln>
          </spPr>
          <cat>
            <numRef>
              <f>'Amortissement annuel'!$A$4:$A$23</f>
            </numRef>
          </cat>
          <val>
            <numRef>
              <f>'Amortissement annuel'!$D$4:$D$23</f>
            </numRef>
          </val>
        </ser>
        <ser>
          <idx val="1"/>
          <order val="1"/>
          <tx>
            <strRef>
              <f>'Amortissement annuel'!E3</f>
            </strRef>
          </tx>
          <spPr>
            <a:solidFill xmlns:a="http://schemas.openxmlformats.org/drawingml/2006/main">
              <a:srgbClr val="22C55E"/>
            </a:solidFill>
            <a:ln xmlns:a="http://schemas.openxmlformats.org/drawingml/2006/main">
              <a:prstDash val="solid"/>
            </a:ln>
          </spPr>
          <cat>
            <numRef>
              <f>'Amortissement annuel'!$A$4:$A$23</f>
            </numRef>
          </cat>
          <val>
            <numRef>
              <f>'Amortissement annuel'!$E$4:$E$23</f>
            </numRef>
          </val>
        </ser>
        <gapWidth val="150"/>
        <overlap val="100"/>
        <axId val="10"/>
        <axId val="100"/>
      </barChart>
      <catAx>
        <axId val="10"/>
        <scaling>
          <orientation val="minMax"/>
        </scaling>
        <axPos val="l"/>
        <title>
          <tx>
            <rich>
              <a:bodyPr xmlns:a="http://schemas.openxmlformats.org/drawingml/2006/main"/>
              <a:p xmlns:a="http://schemas.openxmlformats.org/drawingml/2006/main">
                <a:pPr>
                  <a:defRPr/>
                </a:pPr>
                <a:r>
                  <a:t>Année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15</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3</col>
      <colOff>0</colOff>
      <row>21</row>
      <rowOff>0</rowOff>
    </from>
    <ext cx="576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C21"/>
  <sheetViews>
    <sheetView showGridLines="0" workbookViewId="0">
      <selection activeCell="A1" sqref="A1"/>
    </sheetView>
  </sheetViews>
  <sheetFormatPr baseColWidth="8" defaultRowHeight="15"/>
  <cols>
    <col width="46" customWidth="1" min="1" max="1"/>
    <col width="22" customWidth="1" min="2" max="2"/>
    <col width="14" customWidth="1" min="3" max="3"/>
  </cols>
  <sheetData>
    <row r="1" ht="28" customHeight="1">
      <c r="A1" s="1" t="inlineStr">
        <is>
          <t>Simulateur de Prêt Immobilier — Paramètres du crédit</t>
        </is>
      </c>
    </row>
    <row r="2"/>
    <row r="3">
      <c r="A3" s="2" t="inlineStr">
        <is>
          <t>Libellé</t>
        </is>
      </c>
      <c r="B3" s="2" t="inlineStr">
        <is>
          <t>Valeur</t>
        </is>
      </c>
      <c r="C3" s="2" t="inlineStr">
        <is>
          <t>Unité</t>
        </is>
      </c>
    </row>
    <row r="4">
      <c r="A4" s="3" t="inlineStr">
        <is>
          <t>Prix d'achat du bien</t>
        </is>
      </c>
      <c r="B4" s="4" t="n">
        <v>320000</v>
      </c>
      <c r="C4" s="5" t="inlineStr">
        <is>
          <t>€</t>
        </is>
      </c>
    </row>
    <row r="5">
      <c r="A5" s="3" t="inlineStr">
        <is>
          <t>Apport personnel</t>
        </is>
      </c>
      <c r="B5" s="4" t="n">
        <v>64000</v>
      </c>
      <c r="C5" s="5" t="inlineStr">
        <is>
          <t>€</t>
        </is>
      </c>
    </row>
    <row r="6">
      <c r="A6" s="3" t="inlineStr">
        <is>
          <t>Montant emprunté</t>
        </is>
      </c>
      <c r="B6" s="6">
        <f>B4-B5</f>
        <v/>
      </c>
      <c r="C6" s="5" t="inlineStr">
        <is>
          <t>€</t>
        </is>
      </c>
    </row>
    <row r="7">
      <c r="A7" s="3" t="inlineStr">
        <is>
          <t>Taux d'intérêt annuel (nominal)</t>
        </is>
      </c>
      <c r="B7" s="7" t="n">
        <v>0.035</v>
      </c>
      <c r="C7" s="5" t="inlineStr">
        <is>
          <t>%</t>
        </is>
      </c>
    </row>
    <row r="8">
      <c r="A8" s="3" t="inlineStr">
        <is>
          <t>Durée du prêt</t>
        </is>
      </c>
      <c r="B8" s="8" t="n">
        <v>20</v>
      </c>
      <c r="C8" s="5" t="inlineStr">
        <is>
          <t>années</t>
        </is>
      </c>
    </row>
    <row r="9">
      <c r="A9" s="3" t="inlineStr">
        <is>
          <t>Taux d'intérêt mensuel</t>
        </is>
      </c>
      <c r="B9" s="9">
        <f>B7/12</f>
        <v/>
      </c>
      <c r="C9" s="5" t="inlineStr">
        <is>
          <t>%</t>
        </is>
      </c>
    </row>
    <row r="10">
      <c r="A10" s="3" t="inlineStr">
        <is>
          <t>Nombre de mensualités</t>
        </is>
      </c>
      <c r="B10" s="10">
        <f>B8*12</f>
        <v/>
      </c>
      <c r="C10" s="5" t="inlineStr">
        <is>
          <t>mois</t>
        </is>
      </c>
    </row>
    <row r="11">
      <c r="A11" s="3" t="inlineStr">
        <is>
          <t>Mensualité hors assurance</t>
        </is>
      </c>
      <c r="B11" s="11">
        <f>-PMT(B9,B10,B6)</f>
        <v/>
      </c>
      <c r="C11" s="5" t="inlineStr">
        <is>
          <t>€</t>
        </is>
      </c>
    </row>
    <row r="12">
      <c r="A12" s="3" t="inlineStr">
        <is>
          <t>Taux assurance annuel (sur capital emprunté)</t>
        </is>
      </c>
      <c r="B12" s="7" t="n">
        <v>0.0036</v>
      </c>
      <c r="C12" s="5" t="inlineStr">
        <is>
          <t>%</t>
        </is>
      </c>
    </row>
    <row r="13">
      <c r="A13" s="3" t="inlineStr">
        <is>
          <t>Assurance mensuelle</t>
        </is>
      </c>
      <c r="B13" s="11">
        <f>B6*B12/12</f>
        <v/>
      </c>
      <c r="C13" s="5" t="inlineStr">
        <is>
          <t>€</t>
        </is>
      </c>
    </row>
    <row r="14">
      <c r="A14" s="3" t="inlineStr">
        <is>
          <t>Mensualité totale (crédit + assurance)</t>
        </is>
      </c>
      <c r="B14" s="11">
        <f>B11+B13</f>
        <v/>
      </c>
      <c r="C14" s="5" t="inlineStr">
        <is>
          <t>€</t>
        </is>
      </c>
    </row>
    <row r="15">
      <c r="A15" s="3" t="inlineStr">
        <is>
          <t>Frais de dossier</t>
        </is>
      </c>
      <c r="B15" s="4" t="n">
        <v>1200</v>
      </c>
      <c r="C15" s="5" t="inlineStr">
        <is>
          <t>€</t>
        </is>
      </c>
    </row>
    <row r="16">
      <c r="A16" s="3" t="inlineStr">
        <is>
          <t>Coût total des intérêts</t>
        </is>
      </c>
      <c r="B16" s="6">
        <f>(B11*B10)-B6</f>
        <v/>
      </c>
      <c r="C16" s="5" t="inlineStr">
        <is>
          <t>€</t>
        </is>
      </c>
    </row>
    <row r="17">
      <c r="A17" s="3" t="inlineStr">
        <is>
          <t>Coût total de l'assurance</t>
        </is>
      </c>
      <c r="B17" s="6">
        <f>B13*B10</f>
        <v/>
      </c>
      <c r="C17" s="5" t="inlineStr">
        <is>
          <t>€</t>
        </is>
      </c>
    </row>
    <row r="18">
      <c r="A18" s="3" t="inlineStr">
        <is>
          <t>Coût total du crédit (intérêts+assurance+frais)</t>
        </is>
      </c>
      <c r="B18" s="6">
        <f>B16+B17+B15</f>
        <v/>
      </c>
      <c r="C18" s="5" t="inlineStr">
        <is>
          <t>€</t>
        </is>
      </c>
    </row>
    <row r="19">
      <c r="A19" s="3" t="inlineStr">
        <is>
          <t>Date de départ du prêt</t>
        </is>
      </c>
      <c r="B19" s="37" t="n">
        <v>46266</v>
      </c>
      <c r="C19" s="5" t="inlineStr">
        <is>
          <t>date</t>
        </is>
      </c>
    </row>
    <row r="20">
      <c r="A20" s="3" t="inlineStr">
        <is>
          <t>Nom de l'emprunteur</t>
        </is>
      </c>
      <c r="B20" s="13" t="inlineStr">
        <is>
          <t>Camille Durand</t>
        </is>
      </c>
      <c r="C20" s="5" t="inlineStr">
        <is>
          <t>texte</t>
        </is>
      </c>
    </row>
    <row r="21">
      <c r="A21" s="3" t="inlineStr">
        <is>
          <t>Bien financé (adresse)</t>
        </is>
      </c>
      <c r="B21" s="13" t="inlineStr">
        <is>
          <t>12 rue de la République 69002 Lyon</t>
        </is>
      </c>
      <c r="C21" s="5" t="inlineStr">
        <is>
          <t>texte</t>
        </is>
      </c>
    </row>
  </sheetData>
  <mergeCells count="1">
    <mergeCell ref="A1:C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24"/>
  <sheetViews>
    <sheetView showGridLines="0" workbookViewId="0">
      <pane ySplit="3" topLeftCell="A4" activePane="bottomLeft" state="frozen"/>
      <selection pane="bottomLeft" activeCell="A1" sqref="A1"/>
    </sheetView>
  </sheetViews>
  <sheetFormatPr baseColWidth="8" defaultRowHeight="15"/>
  <cols>
    <col width="9" customWidth="1" min="1" max="1"/>
    <col width="17" customWidth="1" min="2" max="2"/>
    <col width="20" customWidth="1" min="3" max="3"/>
    <col width="20" customWidth="1" min="4" max="4"/>
    <col width="20" customWidth="1" min="5" max="5"/>
    <col width="20" customWidth="1" min="6" max="6"/>
    <col width="20" customWidth="1" min="7" max="7"/>
    <col width="20" customWidth="1" min="8" max="8"/>
    <col width="22" customWidth="1" min="9" max="9"/>
  </cols>
  <sheetData>
    <row r="1" ht="28" customHeight="1">
      <c r="A1" s="1" t="inlineStr">
        <is>
          <t>Tableau d'amortissement annuel du prêt immobilier</t>
        </is>
      </c>
    </row>
    <row r="2"/>
    <row r="3" ht="34" customHeight="1">
      <c r="A3" s="2" t="inlineStr">
        <is>
          <t>Année</t>
        </is>
      </c>
      <c r="B3" s="2" t="inlineStr">
        <is>
          <t>Date début période</t>
        </is>
      </c>
      <c r="C3" s="2" t="inlineStr">
        <is>
          <t>Capital restant dû (début)</t>
        </is>
      </c>
      <c r="D3" s="2" t="inlineStr">
        <is>
          <t>Intérêts payés</t>
        </is>
      </c>
      <c r="E3" s="2" t="inlineStr">
        <is>
          <t>Capital remboursé</t>
        </is>
      </c>
      <c r="F3" s="2" t="inlineStr">
        <is>
          <t>Assurance annuelle</t>
        </is>
      </c>
      <c r="G3" s="2" t="inlineStr">
        <is>
          <t>Mensualités totales</t>
        </is>
      </c>
      <c r="H3" s="2" t="inlineStr">
        <is>
          <t>Capital restant dû (fin)</t>
        </is>
      </c>
      <c r="I3" s="2" t="inlineStr">
        <is>
          <t>% capital remboursé (cumulé)</t>
        </is>
      </c>
    </row>
    <row r="4">
      <c r="A4" s="14" t="n">
        <v>1</v>
      </c>
      <c r="B4" s="38">
        <f>EDATE(Paramètres!$B19,(0)*12)</f>
        <v/>
      </c>
      <c r="C4" s="16">
        <f>Paramètres!$B6</f>
        <v/>
      </c>
      <c r="D4" s="16">
        <f>IFERROR(-CUMIPMT(Paramètres!$B9,Paramètres!$B10,Paramètres!$B6,1,12,0),0)</f>
        <v/>
      </c>
      <c r="E4" s="16">
        <f>IFERROR(-CUMPRINC(Paramètres!$B9,Paramètres!$B10,Paramètres!$B6,1,12,0),0)</f>
        <v/>
      </c>
      <c r="F4" s="16">
        <f>Paramètres!$B13*12</f>
        <v/>
      </c>
      <c r="G4" s="16">
        <f>D4+E4+F4</f>
        <v/>
      </c>
      <c r="H4" s="16">
        <f>C4-E4</f>
        <v/>
      </c>
      <c r="I4" s="17">
        <f>IFERROR((Paramètres!$B6-H4)/Paramètres!$B6,0)</f>
        <v/>
      </c>
    </row>
    <row r="5">
      <c r="A5" s="18" t="n">
        <v>2</v>
      </c>
      <c r="B5" s="39">
        <f>EDATE(Paramètres!$B19,(1)*12)</f>
        <v/>
      </c>
      <c r="C5" s="20">
        <f>H4</f>
        <v/>
      </c>
      <c r="D5" s="20">
        <f>IFERROR(-CUMIPMT(Paramètres!$B9,Paramètres!$B10,Paramètres!$B6,13,24,0),0)</f>
        <v/>
      </c>
      <c r="E5" s="20">
        <f>IFERROR(-CUMPRINC(Paramètres!$B9,Paramètres!$B10,Paramètres!$B6,13,24,0),0)</f>
        <v/>
      </c>
      <c r="F5" s="20">
        <f>Paramètres!$B13*12</f>
        <v/>
      </c>
      <c r="G5" s="20">
        <f>D5+E5+F5</f>
        <v/>
      </c>
      <c r="H5" s="20">
        <f>C5-E5</f>
        <v/>
      </c>
      <c r="I5" s="21">
        <f>IFERROR((Paramètres!$B6-H5)/Paramètres!$B6,0)</f>
        <v/>
      </c>
    </row>
    <row r="6">
      <c r="A6" s="14" t="n">
        <v>3</v>
      </c>
      <c r="B6" s="38">
        <f>EDATE(Paramètres!$B19,(2)*12)</f>
        <v/>
      </c>
      <c r="C6" s="16">
        <f>H5</f>
        <v/>
      </c>
      <c r="D6" s="16">
        <f>IFERROR(-CUMIPMT(Paramètres!$B9,Paramètres!$B10,Paramètres!$B6,25,36,0),0)</f>
        <v/>
      </c>
      <c r="E6" s="16">
        <f>IFERROR(-CUMPRINC(Paramètres!$B9,Paramètres!$B10,Paramètres!$B6,25,36,0),0)</f>
        <v/>
      </c>
      <c r="F6" s="16">
        <f>Paramètres!$B13*12</f>
        <v/>
      </c>
      <c r="G6" s="16">
        <f>D6+E6+F6</f>
        <v/>
      </c>
      <c r="H6" s="16">
        <f>C6-E6</f>
        <v/>
      </c>
      <c r="I6" s="17">
        <f>IFERROR((Paramètres!$B6-H6)/Paramètres!$B6,0)</f>
        <v/>
      </c>
    </row>
    <row r="7">
      <c r="A7" s="18" t="n">
        <v>4</v>
      </c>
      <c r="B7" s="39">
        <f>EDATE(Paramètres!$B19,(3)*12)</f>
        <v/>
      </c>
      <c r="C7" s="20">
        <f>H6</f>
        <v/>
      </c>
      <c r="D7" s="20">
        <f>IFERROR(-CUMIPMT(Paramètres!$B9,Paramètres!$B10,Paramètres!$B6,37,48,0),0)</f>
        <v/>
      </c>
      <c r="E7" s="20">
        <f>IFERROR(-CUMPRINC(Paramètres!$B9,Paramètres!$B10,Paramètres!$B6,37,48,0),0)</f>
        <v/>
      </c>
      <c r="F7" s="20">
        <f>Paramètres!$B13*12</f>
        <v/>
      </c>
      <c r="G7" s="20">
        <f>D7+E7+F7</f>
        <v/>
      </c>
      <c r="H7" s="20">
        <f>C7-E7</f>
        <v/>
      </c>
      <c r="I7" s="21">
        <f>IFERROR((Paramètres!$B6-H7)/Paramètres!$B6,0)</f>
        <v/>
      </c>
    </row>
    <row r="8">
      <c r="A8" s="14" t="n">
        <v>5</v>
      </c>
      <c r="B8" s="38">
        <f>EDATE(Paramètres!$B19,(4)*12)</f>
        <v/>
      </c>
      <c r="C8" s="16">
        <f>H7</f>
        <v/>
      </c>
      <c r="D8" s="16">
        <f>IFERROR(-CUMIPMT(Paramètres!$B9,Paramètres!$B10,Paramètres!$B6,49,60,0),0)</f>
        <v/>
      </c>
      <c r="E8" s="16">
        <f>IFERROR(-CUMPRINC(Paramètres!$B9,Paramètres!$B10,Paramètres!$B6,49,60,0),0)</f>
        <v/>
      </c>
      <c r="F8" s="16">
        <f>Paramètres!$B13*12</f>
        <v/>
      </c>
      <c r="G8" s="16">
        <f>D8+E8+F8</f>
        <v/>
      </c>
      <c r="H8" s="16">
        <f>C8-E8</f>
        <v/>
      </c>
      <c r="I8" s="17">
        <f>IFERROR((Paramètres!$B6-H8)/Paramètres!$B6,0)</f>
        <v/>
      </c>
    </row>
    <row r="9">
      <c r="A9" s="18" t="n">
        <v>6</v>
      </c>
      <c r="B9" s="39">
        <f>EDATE(Paramètres!$B19,(5)*12)</f>
        <v/>
      </c>
      <c r="C9" s="20">
        <f>H8</f>
        <v/>
      </c>
      <c r="D9" s="20">
        <f>IFERROR(-CUMIPMT(Paramètres!$B9,Paramètres!$B10,Paramètres!$B6,61,72,0),0)</f>
        <v/>
      </c>
      <c r="E9" s="20">
        <f>IFERROR(-CUMPRINC(Paramètres!$B9,Paramètres!$B10,Paramètres!$B6,61,72,0),0)</f>
        <v/>
      </c>
      <c r="F9" s="20">
        <f>Paramètres!$B13*12</f>
        <v/>
      </c>
      <c r="G9" s="20">
        <f>D9+E9+F9</f>
        <v/>
      </c>
      <c r="H9" s="20">
        <f>C9-E9</f>
        <v/>
      </c>
      <c r="I9" s="21">
        <f>IFERROR((Paramètres!$B6-H9)/Paramètres!$B6,0)</f>
        <v/>
      </c>
    </row>
    <row r="10">
      <c r="A10" s="14" t="n">
        <v>7</v>
      </c>
      <c r="B10" s="38">
        <f>EDATE(Paramètres!$B19,(6)*12)</f>
        <v/>
      </c>
      <c r="C10" s="16">
        <f>H9</f>
        <v/>
      </c>
      <c r="D10" s="16">
        <f>IFERROR(-CUMIPMT(Paramètres!$B9,Paramètres!$B10,Paramètres!$B6,73,84,0),0)</f>
        <v/>
      </c>
      <c r="E10" s="16">
        <f>IFERROR(-CUMPRINC(Paramètres!$B9,Paramètres!$B10,Paramètres!$B6,73,84,0),0)</f>
        <v/>
      </c>
      <c r="F10" s="16">
        <f>Paramètres!$B13*12</f>
        <v/>
      </c>
      <c r="G10" s="16">
        <f>D10+E10+F10</f>
        <v/>
      </c>
      <c r="H10" s="16">
        <f>C10-E10</f>
        <v/>
      </c>
      <c r="I10" s="17">
        <f>IFERROR((Paramètres!$B6-H10)/Paramètres!$B6,0)</f>
        <v/>
      </c>
    </row>
    <row r="11">
      <c r="A11" s="18" t="n">
        <v>8</v>
      </c>
      <c r="B11" s="39">
        <f>EDATE(Paramètres!$B19,(7)*12)</f>
        <v/>
      </c>
      <c r="C11" s="20">
        <f>H10</f>
        <v/>
      </c>
      <c r="D11" s="20">
        <f>IFERROR(-CUMIPMT(Paramètres!$B9,Paramètres!$B10,Paramètres!$B6,85,96,0),0)</f>
        <v/>
      </c>
      <c r="E11" s="20">
        <f>IFERROR(-CUMPRINC(Paramètres!$B9,Paramètres!$B10,Paramètres!$B6,85,96,0),0)</f>
        <v/>
      </c>
      <c r="F11" s="20">
        <f>Paramètres!$B13*12</f>
        <v/>
      </c>
      <c r="G11" s="20">
        <f>D11+E11+F11</f>
        <v/>
      </c>
      <c r="H11" s="20">
        <f>C11-E11</f>
        <v/>
      </c>
      <c r="I11" s="21">
        <f>IFERROR((Paramètres!$B6-H11)/Paramètres!$B6,0)</f>
        <v/>
      </c>
    </row>
    <row r="12">
      <c r="A12" s="14" t="n">
        <v>9</v>
      </c>
      <c r="B12" s="38">
        <f>EDATE(Paramètres!$B19,(8)*12)</f>
        <v/>
      </c>
      <c r="C12" s="16">
        <f>H11</f>
        <v/>
      </c>
      <c r="D12" s="16">
        <f>IFERROR(-CUMIPMT(Paramètres!$B9,Paramètres!$B10,Paramètres!$B6,97,108,0),0)</f>
        <v/>
      </c>
      <c r="E12" s="16">
        <f>IFERROR(-CUMPRINC(Paramètres!$B9,Paramètres!$B10,Paramètres!$B6,97,108,0),0)</f>
        <v/>
      </c>
      <c r="F12" s="16">
        <f>Paramètres!$B13*12</f>
        <v/>
      </c>
      <c r="G12" s="16">
        <f>D12+E12+F12</f>
        <v/>
      </c>
      <c r="H12" s="16">
        <f>C12-E12</f>
        <v/>
      </c>
      <c r="I12" s="17">
        <f>IFERROR((Paramètres!$B6-H12)/Paramètres!$B6,0)</f>
        <v/>
      </c>
    </row>
    <row r="13">
      <c r="A13" s="18" t="n">
        <v>10</v>
      </c>
      <c r="B13" s="39">
        <f>EDATE(Paramètres!$B19,(9)*12)</f>
        <v/>
      </c>
      <c r="C13" s="20">
        <f>H12</f>
        <v/>
      </c>
      <c r="D13" s="20">
        <f>IFERROR(-CUMIPMT(Paramètres!$B9,Paramètres!$B10,Paramètres!$B6,109,120,0),0)</f>
        <v/>
      </c>
      <c r="E13" s="20">
        <f>IFERROR(-CUMPRINC(Paramètres!$B9,Paramètres!$B10,Paramètres!$B6,109,120,0),0)</f>
        <v/>
      </c>
      <c r="F13" s="20">
        <f>Paramètres!$B13*12</f>
        <v/>
      </c>
      <c r="G13" s="20">
        <f>D13+E13+F13</f>
        <v/>
      </c>
      <c r="H13" s="20">
        <f>C13-E13</f>
        <v/>
      </c>
      <c r="I13" s="21">
        <f>IFERROR((Paramètres!$B6-H13)/Paramètres!$B6,0)</f>
        <v/>
      </c>
    </row>
    <row r="14">
      <c r="A14" s="14" t="n">
        <v>11</v>
      </c>
      <c r="B14" s="38">
        <f>EDATE(Paramètres!$B19,(10)*12)</f>
        <v/>
      </c>
      <c r="C14" s="16">
        <f>H13</f>
        <v/>
      </c>
      <c r="D14" s="16">
        <f>IFERROR(-CUMIPMT(Paramètres!$B9,Paramètres!$B10,Paramètres!$B6,121,132,0),0)</f>
        <v/>
      </c>
      <c r="E14" s="16">
        <f>IFERROR(-CUMPRINC(Paramètres!$B9,Paramètres!$B10,Paramètres!$B6,121,132,0),0)</f>
        <v/>
      </c>
      <c r="F14" s="16">
        <f>Paramètres!$B13*12</f>
        <v/>
      </c>
      <c r="G14" s="16">
        <f>D14+E14+F14</f>
        <v/>
      </c>
      <c r="H14" s="16">
        <f>C14-E14</f>
        <v/>
      </c>
      <c r="I14" s="17">
        <f>IFERROR((Paramètres!$B6-H14)/Paramètres!$B6,0)</f>
        <v/>
      </c>
    </row>
    <row r="15">
      <c r="A15" s="18" t="n">
        <v>12</v>
      </c>
      <c r="B15" s="39">
        <f>EDATE(Paramètres!$B19,(11)*12)</f>
        <v/>
      </c>
      <c r="C15" s="20">
        <f>H14</f>
        <v/>
      </c>
      <c r="D15" s="20">
        <f>IFERROR(-CUMIPMT(Paramètres!$B9,Paramètres!$B10,Paramètres!$B6,133,144,0),0)</f>
        <v/>
      </c>
      <c r="E15" s="20">
        <f>IFERROR(-CUMPRINC(Paramètres!$B9,Paramètres!$B10,Paramètres!$B6,133,144,0),0)</f>
        <v/>
      </c>
      <c r="F15" s="20">
        <f>Paramètres!$B13*12</f>
        <v/>
      </c>
      <c r="G15" s="20">
        <f>D15+E15+F15</f>
        <v/>
      </c>
      <c r="H15" s="20">
        <f>C15-E15</f>
        <v/>
      </c>
      <c r="I15" s="21">
        <f>IFERROR((Paramètres!$B6-H15)/Paramètres!$B6,0)</f>
        <v/>
      </c>
    </row>
    <row r="16">
      <c r="A16" s="14" t="n">
        <v>13</v>
      </c>
      <c r="B16" s="38">
        <f>EDATE(Paramètres!$B19,(12)*12)</f>
        <v/>
      </c>
      <c r="C16" s="16">
        <f>H15</f>
        <v/>
      </c>
      <c r="D16" s="16">
        <f>IFERROR(-CUMIPMT(Paramètres!$B9,Paramètres!$B10,Paramètres!$B6,145,156,0),0)</f>
        <v/>
      </c>
      <c r="E16" s="16">
        <f>IFERROR(-CUMPRINC(Paramètres!$B9,Paramètres!$B10,Paramètres!$B6,145,156,0),0)</f>
        <v/>
      </c>
      <c r="F16" s="16">
        <f>Paramètres!$B13*12</f>
        <v/>
      </c>
      <c r="G16" s="16">
        <f>D16+E16+F16</f>
        <v/>
      </c>
      <c r="H16" s="16">
        <f>C16-E16</f>
        <v/>
      </c>
      <c r="I16" s="17">
        <f>IFERROR((Paramètres!$B6-H16)/Paramètres!$B6,0)</f>
        <v/>
      </c>
    </row>
    <row r="17">
      <c r="A17" s="18" t="n">
        <v>14</v>
      </c>
      <c r="B17" s="39">
        <f>EDATE(Paramètres!$B19,(13)*12)</f>
        <v/>
      </c>
      <c r="C17" s="20">
        <f>H16</f>
        <v/>
      </c>
      <c r="D17" s="20">
        <f>IFERROR(-CUMIPMT(Paramètres!$B9,Paramètres!$B10,Paramètres!$B6,157,168,0),0)</f>
        <v/>
      </c>
      <c r="E17" s="20">
        <f>IFERROR(-CUMPRINC(Paramètres!$B9,Paramètres!$B10,Paramètres!$B6,157,168,0),0)</f>
        <v/>
      </c>
      <c r="F17" s="20">
        <f>Paramètres!$B13*12</f>
        <v/>
      </c>
      <c r="G17" s="20">
        <f>D17+E17+F17</f>
        <v/>
      </c>
      <c r="H17" s="20">
        <f>C17-E17</f>
        <v/>
      </c>
      <c r="I17" s="21">
        <f>IFERROR((Paramètres!$B6-H17)/Paramètres!$B6,0)</f>
        <v/>
      </c>
    </row>
    <row r="18">
      <c r="A18" s="14" t="n">
        <v>15</v>
      </c>
      <c r="B18" s="38">
        <f>EDATE(Paramètres!$B19,(14)*12)</f>
        <v/>
      </c>
      <c r="C18" s="16">
        <f>H17</f>
        <v/>
      </c>
      <c r="D18" s="16">
        <f>IFERROR(-CUMIPMT(Paramètres!$B9,Paramètres!$B10,Paramètres!$B6,169,180,0),0)</f>
        <v/>
      </c>
      <c r="E18" s="16">
        <f>IFERROR(-CUMPRINC(Paramètres!$B9,Paramètres!$B10,Paramètres!$B6,169,180,0),0)</f>
        <v/>
      </c>
      <c r="F18" s="16">
        <f>Paramètres!$B13*12</f>
        <v/>
      </c>
      <c r="G18" s="16">
        <f>D18+E18+F18</f>
        <v/>
      </c>
      <c r="H18" s="16">
        <f>C18-E18</f>
        <v/>
      </c>
      <c r="I18" s="17">
        <f>IFERROR((Paramètres!$B6-H18)/Paramètres!$B6,0)</f>
        <v/>
      </c>
    </row>
    <row r="19">
      <c r="A19" s="18" t="n">
        <v>16</v>
      </c>
      <c r="B19" s="39">
        <f>EDATE(Paramètres!$B19,(15)*12)</f>
        <v/>
      </c>
      <c r="C19" s="20">
        <f>H18</f>
        <v/>
      </c>
      <c r="D19" s="20">
        <f>IFERROR(-CUMIPMT(Paramètres!$B9,Paramètres!$B10,Paramètres!$B6,181,192,0),0)</f>
        <v/>
      </c>
      <c r="E19" s="20">
        <f>IFERROR(-CUMPRINC(Paramètres!$B9,Paramètres!$B10,Paramètres!$B6,181,192,0),0)</f>
        <v/>
      </c>
      <c r="F19" s="20">
        <f>Paramètres!$B13*12</f>
        <v/>
      </c>
      <c r="G19" s="20">
        <f>D19+E19+F19</f>
        <v/>
      </c>
      <c r="H19" s="20">
        <f>C19-E19</f>
        <v/>
      </c>
      <c r="I19" s="21">
        <f>IFERROR((Paramètres!$B6-H19)/Paramètres!$B6,0)</f>
        <v/>
      </c>
    </row>
    <row r="20">
      <c r="A20" s="14" t="n">
        <v>17</v>
      </c>
      <c r="B20" s="38">
        <f>EDATE(Paramètres!$B19,(16)*12)</f>
        <v/>
      </c>
      <c r="C20" s="16">
        <f>H19</f>
        <v/>
      </c>
      <c r="D20" s="16">
        <f>IFERROR(-CUMIPMT(Paramètres!$B9,Paramètres!$B10,Paramètres!$B6,193,204,0),0)</f>
        <v/>
      </c>
      <c r="E20" s="16">
        <f>IFERROR(-CUMPRINC(Paramètres!$B9,Paramètres!$B10,Paramètres!$B6,193,204,0),0)</f>
        <v/>
      </c>
      <c r="F20" s="16">
        <f>Paramètres!$B13*12</f>
        <v/>
      </c>
      <c r="G20" s="16">
        <f>D20+E20+F20</f>
        <v/>
      </c>
      <c r="H20" s="16">
        <f>C20-E20</f>
        <v/>
      </c>
      <c r="I20" s="17">
        <f>IFERROR((Paramètres!$B6-H20)/Paramètres!$B6,0)</f>
        <v/>
      </c>
    </row>
    <row r="21">
      <c r="A21" s="18" t="n">
        <v>18</v>
      </c>
      <c r="B21" s="39">
        <f>EDATE(Paramètres!$B19,(17)*12)</f>
        <v/>
      </c>
      <c r="C21" s="20">
        <f>H20</f>
        <v/>
      </c>
      <c r="D21" s="20">
        <f>IFERROR(-CUMIPMT(Paramètres!$B9,Paramètres!$B10,Paramètres!$B6,205,216,0),0)</f>
        <v/>
      </c>
      <c r="E21" s="20">
        <f>IFERROR(-CUMPRINC(Paramètres!$B9,Paramètres!$B10,Paramètres!$B6,205,216,0),0)</f>
        <v/>
      </c>
      <c r="F21" s="20">
        <f>Paramètres!$B13*12</f>
        <v/>
      </c>
      <c r="G21" s="20">
        <f>D21+E21+F21</f>
        <v/>
      </c>
      <c r="H21" s="20">
        <f>C21-E21</f>
        <v/>
      </c>
      <c r="I21" s="21">
        <f>IFERROR((Paramètres!$B6-H21)/Paramètres!$B6,0)</f>
        <v/>
      </c>
    </row>
    <row r="22">
      <c r="A22" s="14" t="n">
        <v>19</v>
      </c>
      <c r="B22" s="38">
        <f>EDATE(Paramètres!$B19,(18)*12)</f>
        <v/>
      </c>
      <c r="C22" s="16">
        <f>H21</f>
        <v/>
      </c>
      <c r="D22" s="16">
        <f>IFERROR(-CUMIPMT(Paramètres!$B9,Paramètres!$B10,Paramètres!$B6,217,228,0),0)</f>
        <v/>
      </c>
      <c r="E22" s="16">
        <f>IFERROR(-CUMPRINC(Paramètres!$B9,Paramètres!$B10,Paramètres!$B6,217,228,0),0)</f>
        <v/>
      </c>
      <c r="F22" s="16">
        <f>Paramètres!$B13*12</f>
        <v/>
      </c>
      <c r="G22" s="16">
        <f>D22+E22+F22</f>
        <v/>
      </c>
      <c r="H22" s="16">
        <f>C22-E22</f>
        <v/>
      </c>
      <c r="I22" s="17">
        <f>IFERROR((Paramètres!$B6-H22)/Paramètres!$B6,0)</f>
        <v/>
      </c>
    </row>
    <row r="23">
      <c r="A23" s="18" t="n">
        <v>20</v>
      </c>
      <c r="B23" s="39">
        <f>EDATE(Paramètres!$B19,(19)*12)</f>
        <v/>
      </c>
      <c r="C23" s="20">
        <f>H22</f>
        <v/>
      </c>
      <c r="D23" s="20">
        <f>IFERROR(-CUMIPMT(Paramètres!$B9,Paramètres!$B10,Paramètres!$B6,229,240,0),0)</f>
        <v/>
      </c>
      <c r="E23" s="20">
        <f>IFERROR(-CUMPRINC(Paramètres!$B9,Paramètres!$B10,Paramètres!$B6,229,240,0),0)</f>
        <v/>
      </c>
      <c r="F23" s="20">
        <f>Paramètres!$B13*12</f>
        <v/>
      </c>
      <c r="G23" s="20">
        <f>D23+E23+F23</f>
        <v/>
      </c>
      <c r="H23" s="20">
        <f>C23-E23</f>
        <v/>
      </c>
      <c r="I23" s="21">
        <f>IFERROR((Paramètres!$B6-H23)/Paramètres!$B6,0)</f>
        <v/>
      </c>
    </row>
    <row r="24">
      <c r="A24" s="22" t="n"/>
      <c r="B24" s="23" t="inlineStr">
        <is>
          <t>TOTAUX</t>
        </is>
      </c>
      <c r="C24" s="22" t="inlineStr"/>
      <c r="D24" s="24">
        <f>SUM(D4:D23)</f>
        <v/>
      </c>
      <c r="E24" s="24">
        <f>SUM(E4:E23)</f>
        <v/>
      </c>
      <c r="F24" s="24">
        <f>SUM(F4:F23)</f>
        <v/>
      </c>
      <c r="G24" s="24">
        <f>SUM(G4:G23)</f>
        <v/>
      </c>
      <c r="H24" s="22" t="inlineStr"/>
      <c r="I24" s="22" t="inlineStr"/>
    </row>
  </sheetData>
  <mergeCells count="1">
    <mergeCell ref="A1:I1"/>
  </mergeCells>
  <conditionalFormatting sqref="H4:H23">
    <cfRule type="colorScale" priority="1">
      <colorScale>
        <cfvo type="min"/>
        <cfvo type="max"/>
        <color rgb="0022C55E"/>
        <color rgb="00DC2626"/>
      </colorScale>
    </cfRule>
  </conditionalFormatting>
  <conditionalFormatting sqref="D4:E23">
    <cfRule type="expression" priority="2" dxfId="0" stopIfTrue="0">
      <formula>D4&gt;E4</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4"/>
  <sheetViews>
    <sheetView showGridLines="0" workbookViewId="0">
      <selection activeCell="A1" sqref="A1"/>
    </sheetView>
  </sheetViews>
  <sheetFormatPr baseColWidth="8" defaultRowHeight="15"/>
  <cols>
    <col width="14" customWidth="1" min="1" max="1"/>
    <col width="14" customWidth="1" min="2" max="2"/>
    <col width="14" customWidth="1" min="3" max="3"/>
    <col width="16" customWidth="1" min="4" max="4"/>
    <col width="16" customWidth="1" min="5" max="5"/>
    <col width="16" customWidth="1" min="6" max="6"/>
  </cols>
  <sheetData>
    <row r="1" ht="28" customHeight="1">
      <c r="A1" s="1" t="inlineStr">
        <is>
          <t>Tableau de bord — Synthèse du prêt immobilier</t>
        </is>
      </c>
    </row>
    <row r="2"/>
    <row r="3">
      <c r="A3" s="25" t="inlineStr">
        <is>
          <t>Montant emprunté</t>
        </is>
      </c>
      <c r="B3" s="26" t="n"/>
      <c r="C3" s="27" t="n"/>
      <c r="D3" s="28">
        <f>Paramètres!B6</f>
        <v/>
      </c>
      <c r="E3" s="27" t="n"/>
    </row>
    <row r="4">
      <c r="A4" s="25" t="inlineStr">
        <is>
          <t>Mensualité totale</t>
        </is>
      </c>
      <c r="B4" s="26" t="n"/>
      <c r="C4" s="27" t="n"/>
      <c r="D4" s="29">
        <f>Paramètres!B14</f>
        <v/>
      </c>
      <c r="E4" s="27" t="n"/>
    </row>
    <row r="5">
      <c r="A5" s="25" t="inlineStr">
        <is>
          <t>Durée du prêt</t>
        </is>
      </c>
      <c r="B5" s="26" t="n"/>
      <c r="C5" s="27" t="n"/>
      <c r="D5" s="40">
        <f>Paramètres!B8</f>
        <v/>
      </c>
      <c r="E5" s="27" t="n"/>
    </row>
    <row r="6">
      <c r="A6" s="25" t="inlineStr">
        <is>
          <t>Coût total des intérêts</t>
        </is>
      </c>
      <c r="B6" s="26" t="n"/>
      <c r="C6" s="27" t="n"/>
      <c r="D6" s="28">
        <f>Paramètres!B16</f>
        <v/>
      </c>
      <c r="E6" s="27" t="n"/>
    </row>
    <row r="7">
      <c r="A7" s="25" t="inlineStr">
        <is>
          <t>Coût total de l'assurance</t>
        </is>
      </c>
      <c r="B7" s="26" t="n"/>
      <c r="C7" s="27" t="n"/>
      <c r="D7" s="28">
        <f>Paramètres!B17</f>
        <v/>
      </c>
      <c r="E7" s="27" t="n"/>
    </row>
    <row r="8">
      <c r="A8" s="25" t="inlineStr">
        <is>
          <t>Coût total du crédit</t>
        </is>
      </c>
      <c r="B8" s="26" t="n"/>
      <c r="C8" s="27" t="n"/>
      <c r="D8" s="28">
        <f>Paramètres!B18</f>
        <v/>
      </c>
      <c r="E8" s="27" t="n"/>
    </row>
    <row r="9"/>
    <row r="10">
      <c r="A10" s="31" t="inlineStr">
        <is>
          <t>Répartition du coût total du crédit</t>
        </is>
      </c>
    </row>
    <row r="11">
      <c r="A11" s="32" t="inlineStr">
        <is>
          <t>Poste</t>
        </is>
      </c>
      <c r="B11" s="32" t="inlineStr">
        <is>
          <t>Montant</t>
        </is>
      </c>
    </row>
    <row r="12">
      <c r="A12" s="33" t="inlineStr">
        <is>
          <t>Intérêts</t>
        </is>
      </c>
      <c r="B12" s="34">
        <f>Paramètres!B16</f>
        <v/>
      </c>
    </row>
    <row r="13">
      <c r="A13" s="33" t="inlineStr">
        <is>
          <t>Assurance</t>
        </is>
      </c>
      <c r="B13" s="34">
        <f>Paramètres!B17</f>
        <v/>
      </c>
    </row>
    <row r="14">
      <c r="A14" s="33" t="inlineStr">
        <is>
          <t>Frais de dossier</t>
        </is>
      </c>
      <c r="B14" s="34">
        <f>Paramètres!B15</f>
        <v/>
      </c>
    </row>
  </sheetData>
  <mergeCells count="13">
    <mergeCell ref="A1:F1"/>
    <mergeCell ref="A3:C3"/>
    <mergeCell ref="D3:E3"/>
    <mergeCell ref="A4:C4"/>
    <mergeCell ref="D4:E4"/>
    <mergeCell ref="A5:C5"/>
    <mergeCell ref="D5:E5"/>
    <mergeCell ref="A6:C6"/>
    <mergeCell ref="D6:E6"/>
    <mergeCell ref="A7:C7"/>
    <mergeCell ref="D7:E7"/>
    <mergeCell ref="A8:C8"/>
    <mergeCell ref="D8:E8"/>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7"/>
  <sheetViews>
    <sheetView showGridLines="0" workbookViewId="0">
      <selection activeCell="A1" sqref="A1"/>
    </sheetView>
  </sheetViews>
  <sheetFormatPr baseColWidth="8" defaultRowHeight="15"/>
  <cols>
    <col width="22" customWidth="1" min="1" max="1"/>
    <col width="90" customWidth="1" min="2" max="2"/>
  </cols>
  <sheetData>
    <row r="1" ht="28" customHeight="1">
      <c r="A1" s="1" t="inlineStr">
        <is>
          <t>Mode d'emploi — Simulateur de prêt immobilier</t>
        </is>
      </c>
    </row>
    <row r="2"/>
    <row r="3" ht="60" customHeight="1">
      <c r="A3" s="35" t="inlineStr">
        <is>
          <t>Paramètres</t>
        </is>
      </c>
      <c r="B3" s="36" t="inlineStr">
        <is>
          <t>Renseignez le prix d'achat, l'apport personnel, le taux d'intérêt annuel, la durée du prêt, le taux d'assurance, les frais de dossier et la date de départ. Les cellules en jaune pâle sont modifiables ; les autres se calculent automatiquement (mensualité, coût total, etc.).</t>
        </is>
      </c>
    </row>
    <row r="4" ht="60" customHeight="1">
      <c r="A4" s="35" t="inlineStr">
        <is>
          <t>Amortissement annuel</t>
        </is>
      </c>
      <c r="B4" s="36" t="inlineStr">
        <is>
          <t>Ce tableau détaille, pour chaque année du prêt, le capital restant dû en début et fin de période, les intérêts payés, le capital remboursé, l'assurance annuelle, les mensualités totales versées et le pourcentage cumulé de capital remboursé. Les calculs utilisent les fonctions financières CUMIPMT et CUMPRINC.</t>
        </is>
      </c>
    </row>
    <row r="5" ht="60" customHeight="1">
      <c r="A5" s="35" t="inlineStr">
        <is>
          <t>Tableau de bord</t>
        </is>
      </c>
      <c r="B5" s="36" t="inlineStr">
        <is>
          <t>Synthèse visuelle : indicateurs clés (montant emprunté, mensualité, coût total du crédit), répartition du coût total (intérêts / assurance / frais), évolution du capital restant dû et comparaison annuelle intérêts / capital remboursé.</t>
        </is>
      </c>
    </row>
    <row r="6" ht="60" customHeight="1">
      <c r="A6" s="35" t="inlineStr">
        <is>
          <t>Conseil</t>
        </is>
      </c>
      <c r="B6" s="36" t="inlineStr">
        <is>
          <t>Pour simuler un autre prêt, modifiez uniquement les cellules jaunes de la feuille Paramètres. Le tableau d'amortissement et le tableau de bord se mettent à jour automatiquement.</t>
        </is>
      </c>
    </row>
    <row r="7" ht="60" customHeight="1">
      <c r="A7" s="35" t="inlineStr">
        <is>
          <t>Alerte visuelle</t>
        </is>
      </c>
      <c r="B7" s="36" t="inlineStr">
        <is>
          <t>Dans le tableau d'amortissement, les cellules colorées (rouge à vert) indiquent la baisse progressive du capital restant dû ; une mise en forme signale les années où les intérêts dépassent le capital remboursé (typique des premières années du prêt).</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2026-07-21T13:36:47Z</dcterms:created>
  <dcterms:modified xmlns:dcterms="http://purl.org/dc/terms/" xmlns:xsi="http://www.w3.org/2001/XMLSchema-instance" xsi:type="dcterms:W3CDTF">2026-07-21T13:36:47Z</dcterms:modified>
</cp:coreProperties>
</file>